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70" yWindow="260" windowWidth="9870" windowHeight="11020" tabRatio="601" activeTab="2"/>
  </bookViews>
  <sheets>
    <sheet name="полугодие" sheetId="1" r:id="rId1"/>
    <sheet name="9 месяцев" sheetId="2" r:id="rId2"/>
    <sheet name="2013 год" sheetId="3" r:id="rId3"/>
  </sheets>
  <definedNames>
    <definedName name="_xlnm._FilterDatabase" localSheetId="2" hidden="1">'2013 год'!$A$12:$AU$383</definedName>
    <definedName name="_xlnm._FilterDatabase" localSheetId="1" hidden="1">'9 месяцев'!$A$12:$Y$383</definedName>
    <definedName name="_xlnm._FilterDatabase" localSheetId="0" hidden="1">полугодие!$B$12:$X$383</definedName>
  </definedNames>
  <calcPr calcId="145621"/>
</workbook>
</file>

<file path=xl/calcChain.xml><?xml version="1.0" encoding="utf-8"?>
<calcChain xmlns="http://schemas.openxmlformats.org/spreadsheetml/2006/main">
  <c r="C22" i="3" l="1"/>
  <c r="C29" i="3"/>
  <c r="C68" i="3"/>
  <c r="C70" i="3"/>
  <c r="C71" i="3"/>
  <c r="C72" i="3"/>
  <c r="C73" i="3"/>
  <c r="C74" i="3"/>
  <c r="C75" i="3"/>
  <c r="C78" i="3"/>
  <c r="C86" i="3"/>
  <c r="C88" i="3"/>
  <c r="C93" i="3"/>
  <c r="C104" i="3"/>
  <c r="C112" i="3"/>
  <c r="C125" i="3"/>
  <c r="C127" i="3"/>
  <c r="C128" i="3"/>
  <c r="C130" i="3"/>
  <c r="C132" i="3"/>
  <c r="C146" i="3"/>
  <c r="C154" i="3"/>
  <c r="C159" i="3"/>
  <c r="C161" i="3"/>
  <c r="C172" i="3"/>
  <c r="C178" i="3"/>
  <c r="C198" i="3"/>
  <c r="C205" i="3"/>
  <c r="C211" i="3"/>
  <c r="C213" i="3"/>
  <c r="C218" i="3"/>
  <c r="C221" i="3"/>
  <c r="C229" i="3"/>
  <c r="C231" i="3"/>
  <c r="C233" i="3"/>
  <c r="C237" i="3"/>
  <c r="C239" i="3"/>
  <c r="C242" i="3"/>
  <c r="C249" i="3"/>
  <c r="C251" i="3"/>
  <c r="C252" i="3"/>
  <c r="C254" i="3"/>
  <c r="C256" i="3"/>
  <c r="C264" i="3"/>
  <c r="C268" i="3"/>
  <c r="C272" i="3"/>
  <c r="C289" i="3"/>
  <c r="C290" i="3"/>
  <c r="C292" i="3"/>
  <c r="C305" i="3"/>
  <c r="C310" i="3"/>
  <c r="C316" i="3"/>
  <c r="C317" i="3"/>
  <c r="C320" i="3"/>
  <c r="C322" i="3"/>
  <c r="C325" i="3"/>
  <c r="C326" i="3"/>
  <c r="C327" i="3"/>
  <c r="C328" i="3"/>
  <c r="C329" i="3"/>
  <c r="C331" i="3"/>
  <c r="C335" i="3"/>
  <c r="C336" i="3"/>
  <c r="C337" i="3"/>
  <c r="C338" i="3"/>
  <c r="C339" i="3"/>
  <c r="C340" i="3"/>
  <c r="C343" i="3"/>
  <c r="C345" i="3"/>
  <c r="C347" i="3"/>
  <c r="C352" i="3"/>
  <c r="C353" i="3"/>
  <c r="C354" i="3"/>
  <c r="C356" i="3"/>
  <c r="C359" i="3"/>
  <c r="C368" i="3"/>
  <c r="C373" i="3"/>
  <c r="C380" i="3"/>
  <c r="C14" i="3"/>
  <c r="U376" i="3"/>
  <c r="S376" i="3"/>
  <c r="K383" i="3"/>
  <c r="C383" i="3" s="1"/>
  <c r="J383" i="3"/>
  <c r="AA382" i="3"/>
  <c r="S377" i="3"/>
  <c r="AI378" i="3"/>
  <c r="AE378" i="3"/>
  <c r="AD378" i="3"/>
  <c r="U381" i="3"/>
  <c r="Q375" i="3"/>
  <c r="K375" i="3"/>
  <c r="J375" i="3"/>
  <c r="Q374" i="3"/>
  <c r="C374" i="3" s="1"/>
  <c r="AE371" i="3"/>
  <c r="AE369" i="3"/>
  <c r="Q369" i="3"/>
  <c r="P369" i="3"/>
  <c r="AI364" i="3"/>
  <c r="AE364" i="3"/>
  <c r="K364" i="3"/>
  <c r="J364" i="3"/>
  <c r="AE366" i="3"/>
  <c r="AD366" i="3"/>
  <c r="AE365" i="3"/>
  <c r="C365" i="3" s="1"/>
  <c r="K351" i="3"/>
  <c r="C351" i="3" s="1"/>
  <c r="J351" i="3"/>
  <c r="AM361" i="3"/>
  <c r="AK361" i="3"/>
  <c r="C361" i="3" s="1"/>
  <c r="K350" i="3"/>
  <c r="K348" i="3"/>
  <c r="J348" i="3"/>
  <c r="AO355" i="3"/>
  <c r="K355" i="3"/>
  <c r="J355" i="3"/>
  <c r="AM344" i="3"/>
  <c r="C344" i="3" s="1"/>
  <c r="K330" i="3"/>
  <c r="C330" i="3" s="1"/>
  <c r="AE323" i="3"/>
  <c r="AD323" i="3"/>
  <c r="K323" i="3"/>
  <c r="C323" i="3" s="1"/>
  <c r="Q324" i="3"/>
  <c r="C324" i="3" s="1"/>
  <c r="S333" i="3"/>
  <c r="C333" i="3" s="1"/>
  <c r="Q315" i="3"/>
  <c r="C315" i="3" s="1"/>
  <c r="AI313" i="3"/>
  <c r="AE313" i="3"/>
  <c r="Q313" i="3"/>
  <c r="K313" i="3"/>
  <c r="J313" i="3"/>
  <c r="AI314" i="3"/>
  <c r="AE314" i="3"/>
  <c r="AD314" i="3"/>
  <c r="Q314" i="3"/>
  <c r="K314" i="3"/>
  <c r="C314" i="3" s="1"/>
  <c r="J314" i="3"/>
  <c r="AA312" i="3"/>
  <c r="S312" i="3"/>
  <c r="C312" i="3" s="1"/>
  <c r="AI309" i="3"/>
  <c r="AE309" i="3"/>
  <c r="AD309" i="3"/>
  <c r="K309" i="3"/>
  <c r="J309" i="3"/>
  <c r="AO302" i="3"/>
  <c r="AM302" i="3"/>
  <c r="AK302" i="3"/>
  <c r="C302" i="3" s="1"/>
  <c r="AJ302" i="3"/>
  <c r="K301" i="3"/>
  <c r="C301" i="3" s="1"/>
  <c r="AI303" i="3"/>
  <c r="S291" i="3"/>
  <c r="AO287" i="3"/>
  <c r="Q287" i="3"/>
  <c r="K287" i="3"/>
  <c r="J287" i="3"/>
  <c r="AI277" i="3"/>
  <c r="K277" i="3"/>
  <c r="J277" i="3"/>
  <c r="U276" i="3"/>
  <c r="K275" i="3"/>
  <c r="J275" i="3"/>
  <c r="AE274" i="3"/>
  <c r="Q273" i="3"/>
  <c r="S280" i="3"/>
  <c r="C280" i="3" s="1"/>
  <c r="K285" i="3"/>
  <c r="K284" i="3"/>
  <c r="Y283" i="3"/>
  <c r="K283" i="3"/>
  <c r="J283" i="3"/>
  <c r="Q270" i="3"/>
  <c r="C270" i="3" s="1"/>
  <c r="K267" i="3"/>
  <c r="J267" i="3"/>
  <c r="AE269" i="3"/>
  <c r="AD269" i="3"/>
  <c r="K266" i="3"/>
  <c r="C266" i="3" s="1"/>
  <c r="K265" i="3"/>
  <c r="C265" i="3" s="1"/>
  <c r="K262" i="3"/>
  <c r="AE255" i="3"/>
  <c r="C255" i="3" s="1"/>
  <c r="K248" i="3"/>
  <c r="C248" i="3" s="1"/>
  <c r="J248" i="3"/>
  <c r="AE247" i="3"/>
  <c r="K247" i="3"/>
  <c r="AI246" i="3"/>
  <c r="K253" i="3"/>
  <c r="C253" i="3" s="1"/>
  <c r="J253" i="3"/>
  <c r="AK245" i="3"/>
  <c r="AE245" i="3"/>
  <c r="C245" i="3" s="1"/>
  <c r="AE244" i="3"/>
  <c r="Q244" i="3"/>
  <c r="C244" i="3" s="1"/>
  <c r="Q240" i="3"/>
  <c r="P240" i="3"/>
  <c r="E240" i="3"/>
  <c r="AK238" i="3"/>
  <c r="AE235" i="3"/>
  <c r="AD235" i="3"/>
  <c r="K234" i="3"/>
  <c r="AE230" i="3"/>
  <c r="Q241" i="3"/>
  <c r="AM223" i="3"/>
  <c r="AK223" i="3"/>
  <c r="AJ223" i="3"/>
  <c r="S223" i="3"/>
  <c r="Q223" i="3"/>
  <c r="AI225" i="3"/>
  <c r="AE225" i="3"/>
  <c r="AD225" i="3"/>
  <c r="Q225" i="3"/>
  <c r="S171" i="3"/>
  <c r="K171" i="3"/>
  <c r="C171" i="3" s="1"/>
  <c r="J171" i="3"/>
  <c r="Q217" i="3"/>
  <c r="P217" i="3"/>
  <c r="AE219" i="3"/>
  <c r="U216" i="3"/>
  <c r="AM209" i="3"/>
  <c r="AK209" i="3"/>
  <c r="AJ209" i="3"/>
  <c r="Q209" i="3"/>
  <c r="K209" i="3"/>
  <c r="J209" i="3"/>
  <c r="AE206" i="3"/>
  <c r="K204" i="3"/>
  <c r="Q222" i="3"/>
  <c r="C222" i="3" s="1"/>
  <c r="AE210" i="3"/>
  <c r="U210" i="3"/>
  <c r="Q210" i="3"/>
  <c r="AE208" i="3"/>
  <c r="S208" i="3"/>
  <c r="K202" i="3"/>
  <c r="E192" i="3"/>
  <c r="D192" i="3"/>
  <c r="K191" i="3"/>
  <c r="AE190" i="3"/>
  <c r="S190" i="3"/>
  <c r="K190" i="3"/>
  <c r="J190" i="3"/>
  <c r="AI185" i="3"/>
  <c r="Q184" i="3"/>
  <c r="AO179" i="3"/>
  <c r="AK179" i="3"/>
  <c r="K179" i="3"/>
  <c r="J179" i="3"/>
  <c r="AI176" i="3"/>
  <c r="AM294" i="3"/>
  <c r="AK294" i="3"/>
  <c r="C294" i="3" s="1"/>
  <c r="AE296" i="3"/>
  <c r="S296" i="3"/>
  <c r="Q296" i="3"/>
  <c r="I293" i="3"/>
  <c r="C293" i="3" s="1"/>
  <c r="K295" i="3"/>
  <c r="AE169" i="3"/>
  <c r="K162" i="3"/>
  <c r="J162" i="3"/>
  <c r="K141" i="3"/>
  <c r="K142" i="3"/>
  <c r="J142" i="3"/>
  <c r="K156" i="3"/>
  <c r="J156" i="3"/>
  <c r="AI155" i="3"/>
  <c r="AE155" i="3"/>
  <c r="Q155" i="3"/>
  <c r="C155" i="3" s="1"/>
  <c r="AI152" i="3"/>
  <c r="AE152" i="3"/>
  <c r="K152" i="3"/>
  <c r="AE144" i="3"/>
  <c r="K144" i="3"/>
  <c r="AE138" i="3"/>
  <c r="K138" i="3"/>
  <c r="AE166" i="3"/>
  <c r="C166" i="3" s="1"/>
  <c r="K164" i="3"/>
  <c r="K163" i="3"/>
  <c r="J163" i="3"/>
  <c r="AM137" i="3"/>
  <c r="AK137" i="3"/>
  <c r="AJ137" i="3"/>
  <c r="Q137" i="3"/>
  <c r="K137" i="3"/>
  <c r="J137" i="3"/>
  <c r="K160" i="3"/>
  <c r="C160" i="3" s="1"/>
  <c r="AI157" i="3"/>
  <c r="AE157" i="3"/>
  <c r="AD157" i="3"/>
  <c r="AI153" i="3"/>
  <c r="AE153" i="3"/>
  <c r="Q150" i="3"/>
  <c r="Q168" i="3"/>
  <c r="E149" i="3"/>
  <c r="D149" i="3"/>
  <c r="AI148" i="3"/>
  <c r="AE148" i="3"/>
  <c r="AI147" i="3"/>
  <c r="AI145" i="3"/>
  <c r="AH145" i="3"/>
  <c r="AE145" i="3"/>
  <c r="AI165" i="3"/>
  <c r="AE165" i="3"/>
  <c r="AD165" i="3"/>
  <c r="Q165" i="3"/>
  <c r="K170" i="3"/>
  <c r="J170" i="3"/>
  <c r="S136" i="3"/>
  <c r="Q136" i="3"/>
  <c r="K134" i="3"/>
  <c r="C134" i="3" s="1"/>
  <c r="J134" i="3"/>
  <c r="S135" i="3"/>
  <c r="AI126" i="3"/>
  <c r="AE126" i="3"/>
  <c r="K126" i="3"/>
  <c r="Q116" i="3"/>
  <c r="AE115" i="3"/>
  <c r="AE123" i="3"/>
  <c r="K123" i="3"/>
  <c r="Q110" i="3"/>
  <c r="AK113" i="3"/>
  <c r="S113" i="3"/>
  <c r="AI119" i="3"/>
  <c r="Q119" i="3"/>
  <c r="K119" i="3"/>
  <c r="J119" i="3"/>
  <c r="S118" i="3"/>
  <c r="AI124" i="3"/>
  <c r="AE124" i="3"/>
  <c r="K121" i="3"/>
  <c r="K95" i="3"/>
  <c r="J95" i="3"/>
  <c r="K82" i="3"/>
  <c r="Q80" i="3"/>
  <c r="C80" i="3" s="1"/>
  <c r="Q109" i="3"/>
  <c r="AI107" i="3"/>
  <c r="K103" i="3"/>
  <c r="K102" i="3"/>
  <c r="J102" i="3"/>
  <c r="Q101" i="3"/>
  <c r="K101" i="3"/>
  <c r="J101" i="3"/>
  <c r="Q100" i="3"/>
  <c r="K100" i="3"/>
  <c r="AK99" i="3"/>
  <c r="C99" i="3" s="1"/>
  <c r="Q97" i="3"/>
  <c r="AK96" i="3"/>
  <c r="K92" i="3"/>
  <c r="Q91" i="3"/>
  <c r="K91" i="3"/>
  <c r="C91" i="3" s="1"/>
  <c r="K90" i="3"/>
  <c r="AK81" i="3"/>
  <c r="AJ81" i="3"/>
  <c r="AG13" i="3"/>
  <c r="AE13" i="3"/>
  <c r="K13" i="3"/>
  <c r="AM79" i="3"/>
  <c r="C79" i="3" s="1"/>
  <c r="Q77" i="3"/>
  <c r="AI36" i="3"/>
  <c r="AE36" i="3"/>
  <c r="AD36" i="3"/>
  <c r="K36" i="3"/>
  <c r="C36" i="3" s="1"/>
  <c r="J36" i="3"/>
  <c r="AE58" i="3"/>
  <c r="AE67" i="3"/>
  <c r="S62" i="3"/>
  <c r="K62" i="3"/>
  <c r="J62" i="3"/>
  <c r="K56" i="3"/>
  <c r="Y55" i="3"/>
  <c r="U55" i="3"/>
  <c r="AE53" i="3"/>
  <c r="AM42" i="3"/>
  <c r="K41" i="3"/>
  <c r="C41" i="3" s="1"/>
  <c r="K40" i="3"/>
  <c r="AK39" i="3"/>
  <c r="K49" i="3"/>
  <c r="K47" i="3"/>
  <c r="AI35" i="3"/>
  <c r="AE35" i="3"/>
  <c r="AD35" i="3"/>
  <c r="AE38" i="3"/>
  <c r="S38" i="3"/>
  <c r="Q38" i="3"/>
  <c r="P38" i="3"/>
  <c r="K38" i="3"/>
  <c r="J38" i="3"/>
  <c r="AK37" i="3"/>
  <c r="S27" i="3"/>
  <c r="K19" i="3"/>
  <c r="J19" i="3"/>
  <c r="K28" i="3"/>
  <c r="C28" i="3" s="1"/>
  <c r="S24" i="3"/>
  <c r="Q24" i="3"/>
  <c r="P24" i="3"/>
  <c r="K24" i="3"/>
  <c r="J24" i="3"/>
  <c r="S21" i="3"/>
  <c r="Q21" i="3"/>
  <c r="P21" i="3"/>
  <c r="K21" i="3"/>
  <c r="J21" i="3"/>
  <c r="Q20" i="3"/>
  <c r="K20" i="3"/>
  <c r="S18" i="3"/>
  <c r="K18" i="3"/>
  <c r="J18" i="3"/>
  <c r="K17" i="3"/>
  <c r="AM33" i="3"/>
  <c r="AI33" i="3"/>
  <c r="K33" i="3"/>
  <c r="J33" i="3"/>
  <c r="Q31" i="3"/>
  <c r="E31" i="3"/>
  <c r="D31" i="3"/>
  <c r="AE376" i="3"/>
  <c r="U382" i="3"/>
  <c r="Y379" i="3"/>
  <c r="AO371" i="3"/>
  <c r="AK364" i="3"/>
  <c r="AA364" i="3"/>
  <c r="AE358" i="3"/>
  <c r="S358" i="3"/>
  <c r="S346" i="3"/>
  <c r="AM332" i="3"/>
  <c r="C332" i="3" s="1"/>
  <c r="AM313" i="3"/>
  <c r="AO309" i="3"/>
  <c r="AK309" i="3"/>
  <c r="S308" i="3"/>
  <c r="AM304" i="3"/>
  <c r="AK279" i="3"/>
  <c r="AJ279" i="3"/>
  <c r="AK284" i="3"/>
  <c r="AI283" i="3"/>
  <c r="S269" i="3"/>
  <c r="AO260" i="3"/>
  <c r="AI250" i="3"/>
  <c r="AE250" i="3"/>
  <c r="AO240" i="3"/>
  <c r="AK240" i="3"/>
  <c r="AI240" i="3"/>
  <c r="AE240" i="3"/>
  <c r="AD240" i="3"/>
  <c r="U240" i="3"/>
  <c r="T240" i="3"/>
  <c r="U228" i="3"/>
  <c r="AK225" i="3"/>
  <c r="AK219" i="3"/>
  <c r="AJ219" i="3"/>
  <c r="AI209" i="3"/>
  <c r="AI202" i="3"/>
  <c r="E202" i="3"/>
  <c r="AK193" i="3"/>
  <c r="AJ193" i="3"/>
  <c r="S182" i="3"/>
  <c r="S188" i="3"/>
  <c r="C188" i="3" s="1"/>
  <c r="Q186" i="3"/>
  <c r="Q174" i="3"/>
  <c r="U295" i="3"/>
  <c r="S295" i="3"/>
  <c r="Q169" i="3"/>
  <c r="Y142" i="3"/>
  <c r="X142" i="3"/>
  <c r="S142" i="3"/>
  <c r="AI140" i="3"/>
  <c r="AO156" i="3"/>
  <c r="AK156" i="3"/>
  <c r="AJ156" i="3"/>
  <c r="S156" i="3"/>
  <c r="Q152" i="3"/>
  <c r="AM164" i="3"/>
  <c r="S157" i="3"/>
  <c r="E147" i="3"/>
  <c r="D147" i="3"/>
  <c r="AK145" i="3"/>
  <c r="Q145" i="3"/>
  <c r="AK165" i="3"/>
  <c r="AJ165" i="3"/>
  <c r="S149" i="3"/>
  <c r="AO123" i="3"/>
  <c r="AM123" i="3"/>
  <c r="U123" i="3"/>
  <c r="Q123" i="3"/>
  <c r="E123" i="3"/>
  <c r="D123" i="3"/>
  <c r="Q117" i="3"/>
  <c r="C117" i="3" s="1"/>
  <c r="S121" i="3"/>
  <c r="S109" i="3"/>
  <c r="AK108" i="3"/>
  <c r="C108" i="3" s="1"/>
  <c r="AJ108" i="3"/>
  <c r="S106" i="3"/>
  <c r="U103" i="3"/>
  <c r="Q103" i="3"/>
  <c r="AK102" i="3"/>
  <c r="S101" i="3"/>
  <c r="AG100" i="3"/>
  <c r="U100" i="3"/>
  <c r="T100" i="3"/>
  <c r="AM96" i="3"/>
  <c r="AL96" i="3"/>
  <c r="AI92" i="3"/>
  <c r="AE92" i="3"/>
  <c r="AD92" i="3"/>
  <c r="AI89" i="3"/>
  <c r="AE89" i="3"/>
  <c r="AD89" i="3"/>
  <c r="AE87" i="3"/>
  <c r="AE81" i="3"/>
  <c r="S81" i="3"/>
  <c r="Q46" i="3"/>
  <c r="P46" i="3"/>
  <c r="Q66" i="3"/>
  <c r="AE62" i="3"/>
  <c r="S56" i="3"/>
  <c r="AI55" i="3"/>
  <c r="AH55" i="3"/>
  <c r="AE55" i="3"/>
  <c r="AD55" i="3"/>
  <c r="U40" i="3"/>
  <c r="T40" i="3"/>
  <c r="E38" i="3"/>
  <c r="D38" i="3"/>
  <c r="AK26" i="3"/>
  <c r="AJ26" i="3"/>
  <c r="AK23" i="3"/>
  <c r="AI23" i="3"/>
  <c r="AE23" i="3"/>
  <c r="AD23" i="3"/>
  <c r="AE21" i="3"/>
  <c r="AD21" i="3"/>
  <c r="AI20" i="3"/>
  <c r="AH20" i="3"/>
  <c r="AE20" i="3"/>
  <c r="AD20" i="3"/>
  <c r="AE18" i="3"/>
  <c r="AD18" i="3"/>
  <c r="AO33" i="3"/>
  <c r="AE33" i="3"/>
  <c r="AD33" i="3"/>
  <c r="E33" i="3"/>
  <c r="D33" i="3"/>
  <c r="AK25" i="3"/>
  <c r="M376" i="3"/>
  <c r="C376" i="3" s="1"/>
  <c r="L376" i="3"/>
  <c r="AQ193" i="3"/>
  <c r="AQ131" i="3"/>
  <c r="AQ144" i="3"/>
  <c r="K241" i="3"/>
  <c r="J241" i="3"/>
  <c r="K186" i="3"/>
  <c r="J186" i="3"/>
  <c r="AQ318" i="3"/>
  <c r="C318" i="3" s="1"/>
  <c r="S55" i="3"/>
  <c r="AE98" i="3"/>
  <c r="AI76" i="3"/>
  <c r="C76" i="3" s="1"/>
  <c r="AI34" i="3"/>
  <c r="AE381" i="3"/>
  <c r="AK235" i="3"/>
  <c r="AE109" i="3"/>
  <c r="K42" i="3"/>
  <c r="K381" i="3"/>
  <c r="AE360" i="3"/>
  <c r="C360" i="3" s="1"/>
  <c r="AD382" i="3"/>
  <c r="J382" i="3"/>
  <c r="J381" i="3"/>
  <c r="AD377" i="3"/>
  <c r="AD372" i="3"/>
  <c r="AH366" i="3"/>
  <c r="P350" i="3"/>
  <c r="AD346" i="3"/>
  <c r="AJ341" i="3"/>
  <c r="AD334" i="3"/>
  <c r="AJ313" i="3"/>
  <c r="Z299" i="3"/>
  <c r="AD246" i="3"/>
  <c r="J243" i="3"/>
  <c r="J223" i="3"/>
  <c r="AD216" i="3"/>
  <c r="AD187" i="3"/>
  <c r="AD186" i="3"/>
  <c r="AD185" i="3"/>
  <c r="AD182" i="3"/>
  <c r="AD170" i="3"/>
  <c r="T164" i="3"/>
  <c r="P156" i="3"/>
  <c r="AD139" i="3"/>
  <c r="AJ131" i="3"/>
  <c r="AJ123" i="3"/>
  <c r="Z123" i="3"/>
  <c r="P122" i="3"/>
  <c r="AD120" i="3"/>
  <c r="Z115" i="3"/>
  <c r="T115" i="3"/>
  <c r="AN113" i="3"/>
  <c r="P111" i="3"/>
  <c r="AD110" i="3"/>
  <c r="AD100" i="3"/>
  <c r="AJ97" i="3"/>
  <c r="AD95" i="3"/>
  <c r="P92" i="3"/>
  <c r="AJ89" i="3"/>
  <c r="P83" i="3"/>
  <c r="AJ62" i="3"/>
  <c r="J42" i="3"/>
  <c r="P39" i="3"/>
  <c r="P37" i="3"/>
  <c r="AH34" i="3"/>
  <c r="AD34" i="3"/>
  <c r="P33" i="3"/>
  <c r="P27" i="3"/>
  <c r="AD24" i="3"/>
  <c r="T24" i="3"/>
  <c r="P19" i="3"/>
  <c r="AL13" i="3"/>
  <c r="P13" i="3"/>
  <c r="K300" i="3"/>
  <c r="J300" i="3"/>
  <c r="J199" i="3"/>
  <c r="J224" i="3"/>
  <c r="AL269" i="3"/>
  <c r="X240" i="3"/>
  <c r="X170" i="3"/>
  <c r="T110" i="3"/>
  <c r="AN286" i="3"/>
  <c r="AL286" i="3"/>
  <c r="Z164" i="3"/>
  <c r="AJ15" i="3"/>
  <c r="Z378" i="3"/>
  <c r="Z236" i="3"/>
  <c r="X137" i="3"/>
  <c r="G351" i="2"/>
  <c r="G300" i="2"/>
  <c r="G301" i="2"/>
  <c r="G156" i="2"/>
  <c r="AI382" i="3"/>
  <c r="AE382" i="3"/>
  <c r="S382" i="3"/>
  <c r="AE377" i="3"/>
  <c r="AA378" i="3"/>
  <c r="S370" i="3"/>
  <c r="S341" i="3"/>
  <c r="K342" i="3"/>
  <c r="C342" i="3" s="1"/>
  <c r="AK308" i="3"/>
  <c r="AI274" i="3"/>
  <c r="S273" i="3"/>
  <c r="AE284" i="3"/>
  <c r="AE283" i="3"/>
  <c r="S259" i="3"/>
  <c r="Q259" i="3"/>
  <c r="AE243" i="3"/>
  <c r="K243" i="3"/>
  <c r="C243" i="3" s="1"/>
  <c r="Y240" i="3"/>
  <c r="K240" i="3"/>
  <c r="U238" i="3"/>
  <c r="AA236" i="3"/>
  <c r="S228" i="3"/>
  <c r="AI206" i="3"/>
  <c r="S206" i="3"/>
  <c r="K199" i="3"/>
  <c r="AM190" i="3"/>
  <c r="AK183" i="3"/>
  <c r="AI182" i="3"/>
  <c r="AE182" i="3"/>
  <c r="AE186" i="3"/>
  <c r="E296" i="3"/>
  <c r="C296" i="3" s="1"/>
  <c r="S169" i="3"/>
  <c r="AM169" i="3"/>
  <c r="AE156" i="3"/>
  <c r="Q156" i="3"/>
  <c r="AI144" i="3"/>
  <c r="Q167" i="3"/>
  <c r="C167" i="3" s="1"/>
  <c r="AA164" i="3"/>
  <c r="Y137" i="3"/>
  <c r="AI158" i="3"/>
  <c r="AE158" i="3"/>
  <c r="C158" i="3" s="1"/>
  <c r="AM153" i="3"/>
  <c r="S139" i="3"/>
  <c r="AE139" i="3"/>
  <c r="AE147" i="3"/>
  <c r="E145" i="3"/>
  <c r="AO131" i="3"/>
  <c r="AM131" i="3"/>
  <c r="AK131" i="3"/>
  <c r="AE129" i="3"/>
  <c r="C129" i="3" s="1"/>
  <c r="AE116" i="3"/>
  <c r="Q115" i="3"/>
  <c r="U110" i="3"/>
  <c r="Q111" i="3"/>
  <c r="C111" i="3" s="1"/>
  <c r="S122" i="3"/>
  <c r="AO120" i="3"/>
  <c r="AE120" i="3"/>
  <c r="AI95" i="3"/>
  <c r="AE107" i="3"/>
  <c r="AE101" i="3"/>
  <c r="AM100" i="3"/>
  <c r="AK100" i="3"/>
  <c r="AE100" i="3"/>
  <c r="S100" i="3"/>
  <c r="Q96" i="3"/>
  <c r="C96" i="3" s="1"/>
  <c r="AE85" i="3"/>
  <c r="C85" i="3" s="1"/>
  <c r="Q81" i="3"/>
  <c r="C81" i="3" s="1"/>
  <c r="Q83" i="3"/>
  <c r="Q13" i="3"/>
  <c r="Q55" i="3"/>
  <c r="U42" i="3"/>
  <c r="AO52" i="3"/>
  <c r="C52" i="3" s="1"/>
  <c r="AO50" i="3"/>
  <c r="S50" i="3"/>
  <c r="Q35" i="3"/>
  <c r="AE37" i="3"/>
  <c r="S19" i="3"/>
  <c r="U24" i="3"/>
  <c r="S23" i="3"/>
  <c r="AI16" i="3"/>
  <c r="AE16" i="3"/>
  <c r="S16" i="3"/>
  <c r="AO382" i="3"/>
  <c r="Q382" i="3"/>
  <c r="K382" i="3"/>
  <c r="C382" i="3" s="1"/>
  <c r="AM381" i="3"/>
  <c r="AI381" i="3"/>
  <c r="Y381" i="3"/>
  <c r="Q381" i="3"/>
  <c r="Q379" i="3"/>
  <c r="C379" i="3" s="1"/>
  <c r="AM378" i="3"/>
  <c r="AK378" i="3"/>
  <c r="S378" i="3"/>
  <c r="C378" i="3" s="1"/>
  <c r="Q377" i="3"/>
  <c r="C377" i="3" s="1"/>
  <c r="AO375" i="3"/>
  <c r="AO372" i="3"/>
  <c r="AI372" i="3"/>
  <c r="AE372" i="3"/>
  <c r="S372" i="3"/>
  <c r="C372" i="3" s="1"/>
  <c r="AK371" i="3"/>
  <c r="Y371" i="3"/>
  <c r="U371" i="3"/>
  <c r="Q371" i="3"/>
  <c r="C371" i="3" s="1"/>
  <c r="K370" i="3"/>
  <c r="C370" i="3" s="1"/>
  <c r="AI369" i="3"/>
  <c r="AI367" i="3"/>
  <c r="S367" i="3"/>
  <c r="C367" i="3" s="1"/>
  <c r="AK366" i="3"/>
  <c r="AI366" i="3"/>
  <c r="Q366" i="3"/>
  <c r="Q364" i="3"/>
  <c r="Q363" i="3"/>
  <c r="C363" i="3" s="1"/>
  <c r="AM362" i="3"/>
  <c r="C362" i="3" s="1"/>
  <c r="U357" i="3"/>
  <c r="C357" i="3" s="1"/>
  <c r="AM355" i="3"/>
  <c r="Q350" i="3"/>
  <c r="AM349" i="3"/>
  <c r="AK349" i="3"/>
  <c r="S348" i="3"/>
  <c r="AK346" i="3"/>
  <c r="Q346" i="3"/>
  <c r="C346" i="3" s="1"/>
  <c r="AK341" i="3"/>
  <c r="K341" i="3"/>
  <c r="C341" i="3" s="1"/>
  <c r="AE334" i="3"/>
  <c r="C334" i="3" s="1"/>
  <c r="AI321" i="3"/>
  <c r="AE321" i="3"/>
  <c r="Q319" i="3"/>
  <c r="C319" i="3" s="1"/>
  <c r="AK313" i="3"/>
  <c r="U313" i="3"/>
  <c r="S311" i="3"/>
  <c r="C311" i="3" s="1"/>
  <c r="AM309" i="3"/>
  <c r="S309" i="3"/>
  <c r="Q308" i="3"/>
  <c r="C308" i="3" s="1"/>
  <c r="AO307" i="3"/>
  <c r="C307" i="3" s="1"/>
  <c r="AM306" i="3"/>
  <c r="C306" i="3" s="1"/>
  <c r="W306" i="3"/>
  <c r="K304" i="3"/>
  <c r="C304" i="3" s="1"/>
  <c r="U303" i="3"/>
  <c r="C303" i="3" s="1"/>
  <c r="AI300" i="3"/>
  <c r="AA299" i="3"/>
  <c r="C299" i="3" s="1"/>
  <c r="Q298" i="3"/>
  <c r="C298" i="3" s="1"/>
  <c r="S297" i="3"/>
  <c r="Q297" i="3"/>
  <c r="C297" i="3" s="1"/>
  <c r="AM295" i="3"/>
  <c r="AK295" i="3"/>
  <c r="AI295" i="3"/>
  <c r="Q295" i="3"/>
  <c r="AM291" i="3"/>
  <c r="AI288" i="3"/>
  <c r="AE288" i="3"/>
  <c r="Y288" i="3"/>
  <c r="S288" i="3"/>
  <c r="AM287" i="3"/>
  <c r="AO286" i="3"/>
  <c r="AM286" i="3"/>
  <c r="C286" i="3" s="1"/>
  <c r="AI285" i="3"/>
  <c r="AE285" i="3"/>
  <c r="Q285" i="3"/>
  <c r="AO284" i="3"/>
  <c r="AI284" i="3"/>
  <c r="Q284" i="3"/>
  <c r="AO283" i="3"/>
  <c r="AK283" i="3"/>
  <c r="S283" i="3"/>
  <c r="Q283" i="3"/>
  <c r="AO282" i="3"/>
  <c r="C282" i="3" s="1"/>
  <c r="AO281" i="3"/>
  <c r="Q281" i="3"/>
  <c r="AE279" i="3"/>
  <c r="C279" i="3" s="1"/>
  <c r="Y278" i="3"/>
  <c r="C278" i="3" s="1"/>
  <c r="U277" i="3"/>
  <c r="S276" i="3"/>
  <c r="E276" i="3"/>
  <c r="C276" i="3" s="1"/>
  <c r="AE275" i="3"/>
  <c r="W275" i="3"/>
  <c r="AO271" i="3"/>
  <c r="Q271" i="3"/>
  <c r="C271" i="3" s="1"/>
  <c r="AO269" i="3"/>
  <c r="AM269" i="3"/>
  <c r="AK269" i="3"/>
  <c r="Q269" i="3"/>
  <c r="C269" i="3" s="1"/>
  <c r="Q267" i="3"/>
  <c r="E267" i="3"/>
  <c r="C267" i="3" s="1"/>
  <c r="AO263" i="3"/>
  <c r="Y263" i="3"/>
  <c r="Q263" i="3"/>
  <c r="K263" i="3"/>
  <c r="C263" i="3" s="1"/>
  <c r="AO262" i="3"/>
  <c r="U262" i="3"/>
  <c r="Q262" i="3"/>
  <c r="AO261" i="3"/>
  <c r="C261" i="3" s="1"/>
  <c r="U260" i="3"/>
  <c r="C260" i="3" s="1"/>
  <c r="AO259" i="3"/>
  <c r="AO258" i="3"/>
  <c r="C258" i="3" s="1"/>
  <c r="AO257" i="3"/>
  <c r="C257" i="3" s="1"/>
  <c r="AA250" i="3"/>
  <c r="C250" i="3" s="1"/>
  <c r="S247" i="3"/>
  <c r="AE246" i="3"/>
  <c r="C246" i="3" s="1"/>
  <c r="AE241" i="3"/>
  <c r="AM240" i="3"/>
  <c r="AM238" i="3"/>
  <c r="AE238" i="3"/>
  <c r="AI236" i="3"/>
  <c r="AE236" i="3"/>
  <c r="Q236" i="3"/>
  <c r="K236" i="3"/>
  <c r="AK234" i="3"/>
  <c r="AO232" i="3"/>
  <c r="AM232" i="3"/>
  <c r="AK232" i="3"/>
  <c r="K232" i="3"/>
  <c r="C232" i="3" s="1"/>
  <c r="AO230" i="3"/>
  <c r="AO228" i="3"/>
  <c r="AK228" i="3"/>
  <c r="K228" i="3"/>
  <c r="C228" i="3" s="1"/>
  <c r="Q227" i="3"/>
  <c r="K227" i="3"/>
  <c r="C227" i="3" s="1"/>
  <c r="AO226" i="3"/>
  <c r="C226" i="3" s="1"/>
  <c r="AO225" i="3"/>
  <c r="Q224" i="3"/>
  <c r="K224" i="3"/>
  <c r="C224" i="3" s="1"/>
  <c r="AE223" i="3"/>
  <c r="K223" i="3"/>
  <c r="C223" i="3" s="1"/>
  <c r="K220" i="3"/>
  <c r="C220" i="3" s="1"/>
  <c r="U217" i="3"/>
  <c r="AM216" i="3"/>
  <c r="AE216" i="3"/>
  <c r="S215" i="3"/>
  <c r="C215" i="3" s="1"/>
  <c r="U214" i="3"/>
  <c r="C214" i="3" s="1"/>
  <c r="S212" i="3"/>
  <c r="Q212" i="3"/>
  <c r="C212" i="3" s="1"/>
  <c r="AO210" i="3"/>
  <c r="AM210" i="3"/>
  <c r="AI210" i="3"/>
  <c r="AI208" i="3"/>
  <c r="U208" i="3"/>
  <c r="Q208" i="3"/>
  <c r="C208" i="3" s="1"/>
  <c r="S207" i="3"/>
  <c r="Q207" i="3"/>
  <c r="C207" i="3" s="1"/>
  <c r="Q206" i="3"/>
  <c r="C206" i="3" s="1"/>
  <c r="AM204" i="3"/>
  <c r="U204" i="3"/>
  <c r="Q204" i="3"/>
  <c r="AM203" i="3"/>
  <c r="C203" i="3" s="1"/>
  <c r="S202" i="3"/>
  <c r="Q202" i="3"/>
  <c r="S201" i="3"/>
  <c r="K201" i="3"/>
  <c r="K200" i="3"/>
  <c r="C200" i="3" s="1"/>
  <c r="Q199" i="3"/>
  <c r="AK197" i="3"/>
  <c r="C197" i="3" s="1"/>
  <c r="S196" i="3"/>
  <c r="C196" i="3" s="1"/>
  <c r="AO195" i="3"/>
  <c r="C195" i="3" s="1"/>
  <c r="AO194" i="3"/>
  <c r="AK194" i="3"/>
  <c r="S194" i="3"/>
  <c r="AO193" i="3"/>
  <c r="AO192" i="3"/>
  <c r="AM192" i="3"/>
  <c r="AK192" i="3"/>
  <c r="AO191" i="3"/>
  <c r="S191" i="3"/>
  <c r="Q191" i="3"/>
  <c r="AO190" i="3"/>
  <c r="AK190" i="3"/>
  <c r="Q190" i="3"/>
  <c r="AO189" i="3"/>
  <c r="Q189" i="3"/>
  <c r="AE187" i="3"/>
  <c r="C187" i="3" s="1"/>
  <c r="AO186" i="3"/>
  <c r="AO185" i="3"/>
  <c r="AK185" i="3"/>
  <c r="AE185" i="3"/>
  <c r="Q185" i="3"/>
  <c r="AO184" i="3"/>
  <c r="AK184" i="3"/>
  <c r="AO183" i="3"/>
  <c r="AI183" i="3"/>
  <c r="S183" i="3"/>
  <c r="C183" i="3" s="1"/>
  <c r="AO182" i="3"/>
  <c r="AK182" i="3"/>
  <c r="AO181" i="3"/>
  <c r="Q181" i="3"/>
  <c r="C181" i="3" s="1"/>
  <c r="AO180" i="3"/>
  <c r="AK180" i="3"/>
  <c r="AI180" i="3"/>
  <c r="Y179" i="3"/>
  <c r="AO177" i="3"/>
  <c r="C177" i="3" s="1"/>
  <c r="AO176" i="3"/>
  <c r="AO175" i="3"/>
  <c r="C175" i="3" s="1"/>
  <c r="AO174" i="3"/>
  <c r="AK174" i="3"/>
  <c r="AO173" i="3"/>
  <c r="AE173" i="3"/>
  <c r="AE170" i="3"/>
  <c r="Y170" i="3"/>
  <c r="AI169" i="3"/>
  <c r="AO168" i="3"/>
  <c r="AO165" i="3"/>
  <c r="AO164" i="3"/>
  <c r="AK164" i="3"/>
  <c r="U164" i="3"/>
  <c r="Q164" i="3"/>
  <c r="AO163" i="3"/>
  <c r="AE163" i="3"/>
  <c r="Q163" i="3"/>
  <c r="AO162" i="3"/>
  <c r="AM162" i="3"/>
  <c r="S162" i="3"/>
  <c r="Q162" i="3"/>
  <c r="AM157" i="3"/>
  <c r="W157" i="3"/>
  <c r="Q157" i="3"/>
  <c r="C157" i="3" s="1"/>
  <c r="S153" i="3"/>
  <c r="C153" i="3" s="1"/>
  <c r="AO151" i="3"/>
  <c r="S151" i="3"/>
  <c r="AO150" i="3"/>
  <c r="AE150" i="3"/>
  <c r="AO149" i="3"/>
  <c r="AK149" i="3"/>
  <c r="Y149" i="3"/>
  <c r="AO148" i="3"/>
  <c r="AO147" i="3"/>
  <c r="AM147" i="3"/>
  <c r="AK147" i="3"/>
  <c r="Q147" i="3"/>
  <c r="AO145" i="3"/>
  <c r="AO144" i="3"/>
  <c r="S144" i="3"/>
  <c r="Q144" i="3"/>
  <c r="AK143" i="3"/>
  <c r="AI143" i="3"/>
  <c r="AE143" i="3"/>
  <c r="Q143" i="3"/>
  <c r="Q142" i="3"/>
  <c r="Q141" i="3"/>
  <c r="AK140" i="3"/>
  <c r="Q140" i="3"/>
  <c r="AI139" i="3"/>
  <c r="AO138" i="3"/>
  <c r="S138" i="3"/>
  <c r="AE137" i="3"/>
  <c r="S137" i="3"/>
  <c r="AI135" i="3"/>
  <c r="AM133" i="3"/>
  <c r="C133" i="3" s="1"/>
  <c r="S131" i="3"/>
  <c r="C131" i="3" s="1"/>
  <c r="Q126" i="3"/>
  <c r="M126" i="3"/>
  <c r="AO124" i="3"/>
  <c r="Q124" i="3"/>
  <c r="AK123" i="3"/>
  <c r="AA123" i="3"/>
  <c r="S123" i="3"/>
  <c r="Q122" i="3"/>
  <c r="C122" i="3" s="1"/>
  <c r="AO121" i="3"/>
  <c r="Q121" i="3"/>
  <c r="AM120" i="3"/>
  <c r="S120" i="3"/>
  <c r="Q120" i="3"/>
  <c r="K120" i="3"/>
  <c r="AO119" i="3"/>
  <c r="AO118" i="3"/>
  <c r="Q118" i="3"/>
  <c r="C118" i="3" s="1"/>
  <c r="AO116" i="3"/>
  <c r="AO115" i="3"/>
  <c r="AA115" i="3"/>
  <c r="U115" i="3"/>
  <c r="AO114" i="3"/>
  <c r="Q114" i="3"/>
  <c r="C114" i="3" s="1"/>
  <c r="AO113" i="3"/>
  <c r="Q113" i="3"/>
  <c r="C113" i="3" s="1"/>
  <c r="AO110" i="3"/>
  <c r="AE110" i="3"/>
  <c r="AO107" i="3"/>
  <c r="Q107" i="3"/>
  <c r="C107" i="3" s="1"/>
  <c r="Q106" i="3"/>
  <c r="C106" i="3" s="1"/>
  <c r="S105" i="3"/>
  <c r="Q105" i="3"/>
  <c r="Q102" i="3"/>
  <c r="AO100" i="3"/>
  <c r="AI98" i="3"/>
  <c r="U98" i="3"/>
  <c r="AK97" i="3"/>
  <c r="Y97" i="3"/>
  <c r="AE95" i="3"/>
  <c r="Q95" i="3"/>
  <c r="AE94" i="3"/>
  <c r="C94" i="3" s="1"/>
  <c r="Q92" i="3"/>
  <c r="AE90" i="3"/>
  <c r="AM87" i="3"/>
  <c r="U84" i="3"/>
  <c r="C84" i="3" s="1"/>
  <c r="S83" i="3"/>
  <c r="AM82" i="3"/>
  <c r="AK82" i="3"/>
  <c r="Q82" i="3"/>
  <c r="AK77" i="3"/>
  <c r="AM69" i="3"/>
  <c r="C69" i="3" s="1"/>
  <c r="AO67" i="3"/>
  <c r="AO66" i="3"/>
  <c r="AO65" i="3"/>
  <c r="AG65" i="3"/>
  <c r="Q65" i="3"/>
  <c r="AO64" i="3"/>
  <c r="AI64" i="3"/>
  <c r="AO63" i="3"/>
  <c r="S63" i="3"/>
  <c r="AO62" i="3"/>
  <c r="AE61" i="3"/>
  <c r="C61" i="3" s="1"/>
  <c r="AO60" i="3"/>
  <c r="C60" i="3" s="1"/>
  <c r="AO59" i="3"/>
  <c r="C59" i="3" s="1"/>
  <c r="AO58" i="3"/>
  <c r="S58" i="3"/>
  <c r="Q58" i="3"/>
  <c r="C58" i="3" s="1"/>
  <c r="AO57" i="3"/>
  <c r="AE57" i="3"/>
  <c r="C57" i="3" s="1"/>
  <c r="AE56" i="3"/>
  <c r="AO55" i="3"/>
  <c r="AO54" i="3"/>
  <c r="Y54" i="3"/>
  <c r="U54" i="3"/>
  <c r="AO53" i="3"/>
  <c r="AO51" i="3"/>
  <c r="Q51" i="3"/>
  <c r="C51" i="3" s="1"/>
  <c r="AE50" i="3"/>
  <c r="AO49" i="3"/>
  <c r="Q49" i="3"/>
  <c r="AO48" i="3"/>
  <c r="C48" i="3" s="1"/>
  <c r="AO47" i="3"/>
  <c r="AI47" i="3"/>
  <c r="AE47" i="3"/>
  <c r="Q47" i="3"/>
  <c r="AO46" i="3"/>
  <c r="AO45" i="3"/>
  <c r="Q45" i="3"/>
  <c r="AO44" i="3"/>
  <c r="Q44" i="3"/>
  <c r="Q43" i="3"/>
  <c r="C43" i="3" s="1"/>
  <c r="AO42" i="3"/>
  <c r="S42" i="3"/>
  <c r="AO40" i="3"/>
  <c r="Q40" i="3"/>
  <c r="AO39" i="3"/>
  <c r="Q39" i="3"/>
  <c r="K39" i="3"/>
  <c r="AI38" i="3"/>
  <c r="Y38" i="3"/>
  <c r="Q37" i="3"/>
  <c r="C37" i="3" s="1"/>
  <c r="U35" i="3"/>
  <c r="AM34" i="3"/>
  <c r="AE34" i="3"/>
  <c r="Q33" i="3"/>
  <c r="AO32" i="3"/>
  <c r="C32" i="3" s="1"/>
  <c r="AO31" i="3"/>
  <c r="AO30" i="3"/>
  <c r="C30" i="3" s="1"/>
  <c r="Q27" i="3"/>
  <c r="C27" i="3" s="1"/>
  <c r="S26" i="3"/>
  <c r="C26" i="3" s="1"/>
  <c r="AO25" i="3"/>
  <c r="AI25" i="3"/>
  <c r="AE25" i="3"/>
  <c r="Y25" i="3"/>
  <c r="Q25" i="3"/>
  <c r="C25" i="3" s="1"/>
  <c r="AE24" i="3"/>
  <c r="Y24" i="3"/>
  <c r="Q23" i="3"/>
  <c r="C23" i="3" s="1"/>
  <c r="U21" i="3"/>
  <c r="Q19" i="3"/>
  <c r="AO17" i="3"/>
  <c r="AK15" i="3"/>
  <c r="C15" i="3" s="1"/>
  <c r="AO13" i="3"/>
  <c r="AM13" i="3"/>
  <c r="C13" i="3"/>
  <c r="K309" i="2"/>
  <c r="Q240" i="2"/>
  <c r="J236" i="2"/>
  <c r="J224" i="2"/>
  <c r="J223" i="2"/>
  <c r="J267" i="2"/>
  <c r="J167" i="2"/>
  <c r="J164" i="2"/>
  <c r="J162" i="2"/>
  <c r="Q158" i="2"/>
  <c r="Q157" i="2"/>
  <c r="J126" i="2"/>
  <c r="T131" i="2"/>
  <c r="J81" i="2"/>
  <c r="J109" i="2"/>
  <c r="J381" i="2"/>
  <c r="M275" i="2"/>
  <c r="C275" i="2" s="1"/>
  <c r="Q244" i="2"/>
  <c r="N288" i="2"/>
  <c r="U291" i="2"/>
  <c r="J208" i="2"/>
  <c r="J199" i="2"/>
  <c r="J144" i="2"/>
  <c r="J35" i="2"/>
  <c r="J19" i="2"/>
  <c r="J263" i="2"/>
  <c r="J189" i="2"/>
  <c r="Q185" i="2"/>
  <c r="J147" i="2"/>
  <c r="J113" i="2"/>
  <c r="Q110" i="2"/>
  <c r="J123" i="2"/>
  <c r="V67" i="2"/>
  <c r="J44" i="2"/>
  <c r="S64" i="2"/>
  <c r="J55" i="2"/>
  <c r="J43" i="2"/>
  <c r="K42" i="2"/>
  <c r="J39" i="2"/>
  <c r="S47" i="2"/>
  <c r="L84" i="2"/>
  <c r="Q25" i="2"/>
  <c r="L376" i="2"/>
  <c r="Q382" i="2"/>
  <c r="L382" i="2"/>
  <c r="U378" i="2"/>
  <c r="N381" i="2"/>
  <c r="V372" i="2"/>
  <c r="N371" i="2"/>
  <c r="J369" i="2"/>
  <c r="J350" i="2"/>
  <c r="L357" i="2"/>
  <c r="T341" i="2"/>
  <c r="J346" i="2"/>
  <c r="Q334" i="2"/>
  <c r="Q309" i="2"/>
  <c r="J308" i="2"/>
  <c r="M306" i="2"/>
  <c r="V286" i="2"/>
  <c r="U286" i="2"/>
  <c r="D276" i="2"/>
  <c r="S274" i="2"/>
  <c r="Q274" i="2"/>
  <c r="K273" i="2"/>
  <c r="V284" i="2"/>
  <c r="V282" i="2"/>
  <c r="V281" i="2"/>
  <c r="V283" i="2"/>
  <c r="S283" i="2"/>
  <c r="K283" i="2"/>
  <c r="V271" i="2"/>
  <c r="G267" i="2"/>
  <c r="V257" i="2"/>
  <c r="V263" i="2"/>
  <c r="V262" i="2"/>
  <c r="V261" i="2"/>
  <c r="V258" i="2"/>
  <c r="V259" i="2"/>
  <c r="V260" i="2"/>
  <c r="G243" i="2"/>
  <c r="J240" i="2"/>
  <c r="Q238" i="2"/>
  <c r="S236" i="2"/>
  <c r="Q236" i="2"/>
  <c r="V230" i="2"/>
  <c r="V228" i="2"/>
  <c r="V226" i="2"/>
  <c r="Q223" i="2"/>
  <c r="L217" i="2"/>
  <c r="U216" i="2"/>
  <c r="Q216" i="2"/>
  <c r="Q206" i="2"/>
  <c r="J204" i="2"/>
  <c r="K196" i="2"/>
  <c r="K208" i="2"/>
  <c r="Q190" i="2"/>
  <c r="K194" i="2"/>
  <c r="V189" i="2"/>
  <c r="V183" i="2"/>
  <c r="S183" i="2"/>
  <c r="V182" i="2"/>
  <c r="T182" i="2"/>
  <c r="S182" i="2"/>
  <c r="Q182" i="2"/>
  <c r="Q187" i="2"/>
  <c r="V186" i="2"/>
  <c r="V180" i="2"/>
  <c r="S180" i="2"/>
  <c r="V184" i="2"/>
  <c r="V185" i="2"/>
  <c r="V173" i="2"/>
  <c r="V179" i="2"/>
  <c r="V177" i="2"/>
  <c r="V176" i="2"/>
  <c r="V174" i="2"/>
  <c r="V181" i="2"/>
  <c r="V175" i="2"/>
  <c r="T295" i="2"/>
  <c r="T143" i="2"/>
  <c r="V162" i="2"/>
  <c r="U162" i="2"/>
  <c r="K162" i="2"/>
  <c r="J141" i="2"/>
  <c r="S155" i="2"/>
  <c r="Q155" i="2"/>
  <c r="J155" i="2"/>
  <c r="K144" i="2"/>
  <c r="Q166" i="2"/>
  <c r="O164" i="2"/>
  <c r="Q137" i="2"/>
  <c r="J137" i="2"/>
  <c r="S158" i="2"/>
  <c r="K153" i="2"/>
  <c r="V151" i="2"/>
  <c r="V150" i="2"/>
  <c r="V168" i="2"/>
  <c r="V149" i="2"/>
  <c r="K149" i="2"/>
  <c r="V148" i="2"/>
  <c r="V147" i="2"/>
  <c r="U147" i="2"/>
  <c r="T147" i="2"/>
  <c r="V145" i="2"/>
  <c r="S145" i="2"/>
  <c r="Q145" i="2"/>
  <c r="J145" i="2"/>
  <c r="V165" i="2"/>
  <c r="N170" i="2"/>
  <c r="K136" i="2"/>
  <c r="U133" i="2"/>
  <c r="K131" i="2"/>
  <c r="V116" i="2"/>
  <c r="V115" i="2"/>
  <c r="V123" i="2"/>
  <c r="V114" i="2"/>
  <c r="V113" i="2"/>
  <c r="V119" i="2"/>
  <c r="V118" i="2"/>
  <c r="J118" i="2"/>
  <c r="V124" i="2"/>
  <c r="J122" i="2"/>
  <c r="V121" i="2"/>
  <c r="K121" i="2"/>
  <c r="V120" i="2"/>
  <c r="U120" i="2"/>
  <c r="K120" i="2"/>
  <c r="J120" i="2"/>
  <c r="Q95" i="2"/>
  <c r="U82" i="2"/>
  <c r="T82" i="2"/>
  <c r="G82" i="2"/>
  <c r="S107" i="2"/>
  <c r="T100" i="2"/>
  <c r="Q92" i="2"/>
  <c r="J92" i="2"/>
  <c r="Q81" i="2"/>
  <c r="J83" i="2"/>
  <c r="Q13" i="2"/>
  <c r="J13" i="2"/>
  <c r="V58" i="2"/>
  <c r="V46" i="2"/>
  <c r="V44" i="2"/>
  <c r="S55" i="2"/>
  <c r="Q55" i="2"/>
  <c r="Q56" i="2"/>
  <c r="V66" i="2"/>
  <c r="V65" i="2"/>
  <c r="V64" i="2"/>
  <c r="V63" i="2"/>
  <c r="V62" i="2"/>
  <c r="V60" i="2"/>
  <c r="V59" i="2"/>
  <c r="V57" i="2"/>
  <c r="V45" i="2"/>
  <c r="V55" i="2"/>
  <c r="V54" i="2"/>
  <c r="V53" i="2"/>
  <c r="Q61" i="2"/>
  <c r="V42" i="2"/>
  <c r="V52" i="2"/>
  <c r="V51" i="2"/>
  <c r="J51" i="2"/>
  <c r="V40" i="2"/>
  <c r="V50" i="2"/>
  <c r="V39" i="2"/>
  <c r="V49" i="2"/>
  <c r="V48" i="2"/>
  <c r="V47" i="2"/>
  <c r="J47" i="2"/>
  <c r="Q35" i="2"/>
  <c r="K38" i="2"/>
  <c r="J27" i="2"/>
  <c r="K19" i="2"/>
  <c r="G19" i="2"/>
  <c r="T26" i="2"/>
  <c r="K24" i="2"/>
  <c r="J24" i="2"/>
  <c r="L21" i="2"/>
  <c r="V17" i="2"/>
  <c r="V33" i="2"/>
  <c r="U33" i="2"/>
  <c r="J33" i="2"/>
  <c r="V32" i="2"/>
  <c r="V31" i="2"/>
  <c r="V30" i="2"/>
  <c r="V25" i="2"/>
  <c r="S25" i="2"/>
  <c r="N25" i="2"/>
  <c r="T15" i="2"/>
  <c r="G232" i="2"/>
  <c r="G304" i="2"/>
  <c r="G17" i="2"/>
  <c r="H126" i="2"/>
  <c r="C126" i="2" s="1"/>
  <c r="Q376" i="2"/>
  <c r="G383" i="2"/>
  <c r="V382" i="2"/>
  <c r="K382" i="2"/>
  <c r="G382" i="2"/>
  <c r="C382" i="2" s="1"/>
  <c r="K377" i="2"/>
  <c r="K378" i="2"/>
  <c r="Q381" i="2"/>
  <c r="Q371" i="2"/>
  <c r="S369" i="2"/>
  <c r="Q369" i="2"/>
  <c r="S367" i="2"/>
  <c r="K367" i="2"/>
  <c r="S366" i="2"/>
  <c r="Q366" i="2"/>
  <c r="U362" i="2"/>
  <c r="K348" i="2"/>
  <c r="V355" i="2"/>
  <c r="U355" i="2"/>
  <c r="K346" i="2"/>
  <c r="J319" i="2"/>
  <c r="T313" i="2"/>
  <c r="K312" i="2"/>
  <c r="K311" i="2"/>
  <c r="V309" i="2"/>
  <c r="U309" i="2"/>
  <c r="L303" i="2"/>
  <c r="U287" i="2"/>
  <c r="N278" i="2"/>
  <c r="Q275" i="2"/>
  <c r="K280" i="2"/>
  <c r="T284" i="2"/>
  <c r="V269" i="2"/>
  <c r="U269" i="2"/>
  <c r="T269" i="2"/>
  <c r="K247" i="2"/>
  <c r="J244" i="2"/>
  <c r="D240" i="2"/>
  <c r="U238" i="2"/>
  <c r="K223" i="2"/>
  <c r="S225" i="2"/>
  <c r="J225" i="2"/>
  <c r="L214" i="2"/>
  <c r="K212" i="2"/>
  <c r="J212" i="2"/>
  <c r="V210" i="2"/>
  <c r="U210" i="2"/>
  <c r="G209" i="2"/>
  <c r="G201" i="2"/>
  <c r="U190" i="2"/>
  <c r="J190" i="2"/>
  <c r="T185" i="2"/>
  <c r="T184" i="2"/>
  <c r="K297" i="2"/>
  <c r="Q143" i="2"/>
  <c r="G162" i="2"/>
  <c r="K142" i="2"/>
  <c r="K137" i="2"/>
  <c r="U157" i="2"/>
  <c r="M157" i="2"/>
  <c r="Q153" i="2"/>
  <c r="Q150" i="2"/>
  <c r="T149" i="2"/>
  <c r="S148" i="2"/>
  <c r="Q148" i="2"/>
  <c r="T165" i="2"/>
  <c r="S165" i="2"/>
  <c r="Q165" i="2"/>
  <c r="U131" i="2"/>
  <c r="L115" i="2"/>
  <c r="T123" i="2"/>
  <c r="G121" i="2"/>
  <c r="K109" i="2"/>
  <c r="K105" i="2"/>
  <c r="G101" i="2"/>
  <c r="G100" i="2"/>
  <c r="T97" i="2"/>
  <c r="U87" i="2"/>
  <c r="K83" i="2"/>
  <c r="V13" i="2"/>
  <c r="U13" i="2"/>
  <c r="U34" i="2"/>
  <c r="K56" i="2"/>
  <c r="N54" i="2"/>
  <c r="G39" i="2"/>
  <c r="G49" i="2"/>
  <c r="Q47" i="2"/>
  <c r="N38" i="2"/>
  <c r="K26" i="2"/>
  <c r="N24" i="2"/>
  <c r="K21" i="2"/>
  <c r="J25" i="2"/>
  <c r="G313" i="2"/>
  <c r="G224" i="2"/>
  <c r="G223" i="2"/>
  <c r="T137" i="2"/>
  <c r="G137" i="2"/>
  <c r="G160" i="2"/>
  <c r="J157" i="2"/>
  <c r="J379" i="2"/>
  <c r="L277" i="2"/>
  <c r="G220" i="2"/>
  <c r="G202" i="2"/>
  <c r="G200" i="2"/>
  <c r="G199" i="2"/>
  <c r="G171" i="2"/>
  <c r="G152" i="2"/>
  <c r="L35" i="2"/>
  <c r="G375" i="2"/>
  <c r="G228" i="2"/>
  <c r="O115" i="2"/>
  <c r="C122" i="2"/>
  <c r="G42" i="2"/>
  <c r="L381" i="2"/>
  <c r="G381" i="2"/>
  <c r="Q372" i="2"/>
  <c r="T366" i="2"/>
  <c r="U349" i="2"/>
  <c r="T349" i="2"/>
  <c r="L313" i="2"/>
  <c r="O299" i="2"/>
  <c r="K288" i="2"/>
  <c r="Q279" i="2"/>
  <c r="S284" i="2"/>
  <c r="Q284" i="2"/>
  <c r="Q283" i="2"/>
  <c r="S246" i="2"/>
  <c r="Q246" i="2"/>
  <c r="T245" i="2"/>
  <c r="O250" i="2"/>
  <c r="Q243" i="2"/>
  <c r="U240" i="2"/>
  <c r="N240" i="2"/>
  <c r="T238" i="2"/>
  <c r="G236" i="2"/>
  <c r="T234" i="2"/>
  <c r="U232" i="2"/>
  <c r="T232" i="2"/>
  <c r="T228" i="2"/>
  <c r="Q241" i="2"/>
  <c r="Q225" i="2"/>
  <c r="Q170" i="2"/>
  <c r="G170" i="2"/>
  <c r="T197" i="2"/>
  <c r="K201" i="2"/>
  <c r="L208" i="2"/>
  <c r="U203" i="2"/>
  <c r="T192" i="2"/>
  <c r="K191" i="2"/>
  <c r="J191" i="2"/>
  <c r="T190" i="2"/>
  <c r="T194" i="2"/>
  <c r="S185" i="2"/>
  <c r="G295" i="2"/>
  <c r="C295" i="2" s="1"/>
  <c r="J143" i="2"/>
  <c r="G142" i="2"/>
  <c r="J140" i="2"/>
  <c r="S152" i="2"/>
  <c r="V138" i="2"/>
  <c r="T164" i="2"/>
  <c r="L164" i="2"/>
  <c r="K151" i="2"/>
  <c r="J150" i="2"/>
  <c r="N149" i="2"/>
  <c r="S147" i="2"/>
  <c r="Q147" i="2"/>
  <c r="S135" i="2"/>
  <c r="Q115" i="2"/>
  <c r="O123" i="2"/>
  <c r="J82" i="2"/>
  <c r="V100" i="2"/>
  <c r="U100" i="2"/>
  <c r="S34" i="2"/>
  <c r="Q34" i="2"/>
  <c r="K58" i="2"/>
  <c r="J46" i="2"/>
  <c r="S38" i="2"/>
  <c r="J38" i="2"/>
  <c r="J37" i="2"/>
  <c r="Q24" i="2"/>
  <c r="J21" i="2"/>
  <c r="K18" i="2"/>
  <c r="G33" i="2"/>
  <c r="C383" i="2"/>
  <c r="J382" i="2"/>
  <c r="U381" i="2"/>
  <c r="S381" i="2"/>
  <c r="C381" i="2"/>
  <c r="C380" i="2"/>
  <c r="C379" i="2"/>
  <c r="T378" i="2"/>
  <c r="C378" i="2"/>
  <c r="J377" i="2"/>
  <c r="C377" i="2"/>
  <c r="C376" i="2"/>
  <c r="V375" i="2"/>
  <c r="J375" i="2"/>
  <c r="C374" i="2"/>
  <c r="C373" i="2"/>
  <c r="S372" i="2"/>
  <c r="K372" i="2"/>
  <c r="T371" i="2"/>
  <c r="L371" i="2"/>
  <c r="J371" i="2"/>
  <c r="C371" i="2" s="1"/>
  <c r="G370" i="2"/>
  <c r="C370" i="2" s="1"/>
  <c r="C369" i="2"/>
  <c r="C368" i="2"/>
  <c r="C367" i="2"/>
  <c r="J366" i="2"/>
  <c r="C366" i="2"/>
  <c r="C365" i="2"/>
  <c r="T364" i="2"/>
  <c r="J364" i="2"/>
  <c r="J363" i="2"/>
  <c r="C363" i="2" s="1"/>
  <c r="C362" i="2"/>
  <c r="C361" i="2"/>
  <c r="C360" i="2"/>
  <c r="C359" i="2"/>
  <c r="C358" i="2"/>
  <c r="C357" i="2"/>
  <c r="C356" i="2"/>
  <c r="C355" i="2"/>
  <c r="C354" i="2"/>
  <c r="C353" i="2"/>
  <c r="C352" i="2"/>
  <c r="C351" i="2"/>
  <c r="C350" i="2"/>
  <c r="C349" i="2"/>
  <c r="C348" i="2"/>
  <c r="C347" i="2"/>
  <c r="T346" i="2"/>
  <c r="C346" i="2" s="1"/>
  <c r="C345" i="2"/>
  <c r="C344" i="2"/>
  <c r="C343" i="2"/>
  <c r="C342" i="2"/>
  <c r="K341" i="2"/>
  <c r="G341" i="2"/>
  <c r="C340" i="2"/>
  <c r="C339" i="2"/>
  <c r="C338" i="2"/>
  <c r="C337" i="2"/>
  <c r="C336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S321" i="2"/>
  <c r="Q321" i="2"/>
  <c r="C321" i="2" s="1"/>
  <c r="C320" i="2"/>
  <c r="C319" i="2"/>
  <c r="C318" i="2"/>
  <c r="C317" i="2"/>
  <c r="C316" i="2"/>
  <c r="C315" i="2"/>
  <c r="C314" i="2"/>
  <c r="J313" i="2"/>
  <c r="C313" i="2"/>
  <c r="C312" i="2"/>
  <c r="C311" i="2"/>
  <c r="C310" i="2"/>
  <c r="T309" i="2"/>
  <c r="C309" i="2" s="1"/>
  <c r="T308" i="2"/>
  <c r="K308" i="2"/>
  <c r="C308" i="2"/>
  <c r="V307" i="2"/>
  <c r="C307" i="2"/>
  <c r="U306" i="2"/>
  <c r="C306" i="2"/>
  <c r="C305" i="2"/>
  <c r="C304" i="2"/>
  <c r="C303" i="2"/>
  <c r="C302" i="2"/>
  <c r="C301" i="2"/>
  <c r="S300" i="2"/>
  <c r="C300" i="2" s="1"/>
  <c r="C299" i="2"/>
  <c r="J298" i="2"/>
  <c r="C298" i="2"/>
  <c r="J297" i="2"/>
  <c r="C297" i="2"/>
  <c r="C296" i="2"/>
  <c r="U295" i="2"/>
  <c r="S295" i="2"/>
  <c r="J295" i="2"/>
  <c r="C294" i="2"/>
  <c r="C293" i="2"/>
  <c r="C292" i="2"/>
  <c r="C291" i="2"/>
  <c r="C290" i="2"/>
  <c r="C289" i="2"/>
  <c r="S288" i="2"/>
  <c r="Q288" i="2"/>
  <c r="C287" i="2"/>
  <c r="C286" i="2"/>
  <c r="S285" i="2"/>
  <c r="Q285" i="2"/>
  <c r="J285" i="2"/>
  <c r="C285" i="2"/>
  <c r="J284" i="2"/>
  <c r="C284" i="2"/>
  <c r="T283" i="2"/>
  <c r="J283" i="2"/>
  <c r="C283" i="2" s="1"/>
  <c r="C282" i="2"/>
  <c r="J281" i="2"/>
  <c r="C281" i="2"/>
  <c r="C280" i="2"/>
  <c r="T279" i="2"/>
  <c r="C279" i="2" s="1"/>
  <c r="C278" i="2"/>
  <c r="C277" i="2"/>
  <c r="K276" i="2"/>
  <c r="C276" i="2" s="1"/>
  <c r="C273" i="2"/>
  <c r="C272" i="2"/>
  <c r="J271" i="2"/>
  <c r="C271" i="2" s="1"/>
  <c r="C270" i="2"/>
  <c r="J269" i="2"/>
  <c r="C269" i="2"/>
  <c r="C268" i="2"/>
  <c r="D267" i="2"/>
  <c r="C267" i="2" s="1"/>
  <c r="C266" i="2"/>
  <c r="C265" i="2"/>
  <c r="C264" i="2"/>
  <c r="N263" i="2"/>
  <c r="G263" i="2"/>
  <c r="C263" i="2" s="1"/>
  <c r="L262" i="2"/>
  <c r="J262" i="2"/>
  <c r="C261" i="2"/>
  <c r="L260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J241" i="2"/>
  <c r="C241" i="2"/>
  <c r="S240" i="2"/>
  <c r="C240" i="2"/>
  <c r="C239" i="2"/>
  <c r="C238" i="2"/>
  <c r="C237" i="2"/>
  <c r="C236" i="2"/>
  <c r="C235" i="2"/>
  <c r="C234" i="2"/>
  <c r="C233" i="2"/>
  <c r="V232" i="2"/>
  <c r="C232" i="2" s="1"/>
  <c r="C231" i="2"/>
  <c r="C230" i="2"/>
  <c r="C229" i="2"/>
  <c r="C228" i="2"/>
  <c r="J227" i="2"/>
  <c r="G227" i="2"/>
  <c r="C226" i="2"/>
  <c r="V225" i="2"/>
  <c r="C225" i="2"/>
  <c r="C224" i="2"/>
  <c r="T223" i="2"/>
  <c r="C223" i="2" s="1"/>
  <c r="C222" i="2"/>
  <c r="C221" i="2"/>
  <c r="C220" i="2"/>
  <c r="Q219" i="2"/>
  <c r="C219" i="2"/>
  <c r="C218" i="2"/>
  <c r="J217" i="2"/>
  <c r="C217" i="2" s="1"/>
  <c r="K215" i="2"/>
  <c r="C215" i="2" s="1"/>
  <c r="C214" i="2"/>
  <c r="C213" i="2"/>
  <c r="C212" i="2"/>
  <c r="C211" i="2"/>
  <c r="S210" i="2"/>
  <c r="Q210" i="2"/>
  <c r="C210" i="2"/>
  <c r="J209" i="2"/>
  <c r="C209" i="2"/>
  <c r="S208" i="2"/>
  <c r="C208" i="2"/>
  <c r="K207" i="2"/>
  <c r="J207" i="2"/>
  <c r="S206" i="2"/>
  <c r="J206" i="2"/>
  <c r="C206" i="2" s="1"/>
  <c r="C205" i="2"/>
  <c r="U204" i="2"/>
  <c r="L204" i="2"/>
  <c r="C204" i="2" s="1"/>
  <c r="C203" i="2"/>
  <c r="S202" i="2"/>
  <c r="K202" i="2"/>
  <c r="J202" i="2"/>
  <c r="C202" i="2"/>
  <c r="C201" i="2"/>
  <c r="C200" i="2"/>
  <c r="C199" i="2"/>
  <c r="C198" i="2"/>
  <c r="C197" i="2"/>
  <c r="C196" i="2"/>
  <c r="V195" i="2"/>
  <c r="C195" i="2"/>
  <c r="V194" i="2"/>
  <c r="C194" i="2"/>
  <c r="V193" i="2"/>
  <c r="C193" i="2"/>
  <c r="V192" i="2"/>
  <c r="U192" i="2"/>
  <c r="C192" i="2" s="1"/>
  <c r="V191" i="2"/>
  <c r="C191" i="2" s="1"/>
  <c r="V190" i="2"/>
  <c r="K190" i="2"/>
  <c r="C190" i="2"/>
  <c r="C189" i="2"/>
  <c r="C188" i="2"/>
  <c r="C187" i="2"/>
  <c r="C186" i="2"/>
  <c r="J185" i="2"/>
  <c r="C185" i="2"/>
  <c r="C184" i="2"/>
  <c r="K183" i="2"/>
  <c r="C183" i="2" s="1"/>
  <c r="C182" i="2"/>
  <c r="J181" i="2"/>
  <c r="C181" i="2"/>
  <c r="T180" i="2"/>
  <c r="N179" i="2"/>
  <c r="C179" i="2" s="1"/>
  <c r="C178" i="2"/>
  <c r="C177" i="2"/>
  <c r="C176" i="2"/>
  <c r="C175" i="2"/>
  <c r="T174" i="2"/>
  <c r="C174" i="2" s="1"/>
  <c r="Q173" i="2"/>
  <c r="C173" i="2" s="1"/>
  <c r="C172" i="2"/>
  <c r="C171" i="2"/>
  <c r="C170" i="2"/>
  <c r="S169" i="2"/>
  <c r="Q169" i="2"/>
  <c r="C168" i="2"/>
  <c r="C167" i="2"/>
  <c r="C166" i="2"/>
  <c r="C165" i="2"/>
  <c r="V164" i="2"/>
  <c r="V163" i="2"/>
  <c r="Q163" i="2"/>
  <c r="J163" i="2"/>
  <c r="C163" i="2" s="1"/>
  <c r="C162" i="2"/>
  <c r="C161" i="2"/>
  <c r="C160" i="2"/>
  <c r="C159" i="2"/>
  <c r="C158" i="2"/>
  <c r="C157" i="2"/>
  <c r="V156" i="2"/>
  <c r="J156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V144" i="2"/>
  <c r="S144" i="2"/>
  <c r="C144" i="2"/>
  <c r="S143" i="2"/>
  <c r="C143" i="2"/>
  <c r="J142" i="2"/>
  <c r="C142" i="2"/>
  <c r="C141" i="2"/>
  <c r="T140" i="2"/>
  <c r="C140" i="2" s="1"/>
  <c r="S139" i="2"/>
  <c r="Q139" i="2"/>
  <c r="C139" i="2"/>
  <c r="K138" i="2"/>
  <c r="C138" i="2"/>
  <c r="C137" i="2"/>
  <c r="J136" i="2"/>
  <c r="C136" i="2" s="1"/>
  <c r="C135" i="2"/>
  <c r="C134" i="2"/>
  <c r="C133" i="2"/>
  <c r="C132" i="2"/>
  <c r="C131" i="2"/>
  <c r="C130" i="2"/>
  <c r="C129" i="2"/>
  <c r="C128" i="2"/>
  <c r="C127" i="2"/>
  <c r="C125" i="2"/>
  <c r="J124" i="2"/>
  <c r="C124" i="2" s="1"/>
  <c r="K123" i="2"/>
  <c r="J121" i="2"/>
  <c r="C121" i="2"/>
  <c r="G120" i="2"/>
  <c r="C120" i="2"/>
  <c r="J119" i="2"/>
  <c r="C119" i="2"/>
  <c r="C118" i="2"/>
  <c r="C117" i="2"/>
  <c r="C116" i="2"/>
  <c r="C115" i="2"/>
  <c r="J114" i="2"/>
  <c r="C114" i="2"/>
  <c r="C113" i="2"/>
  <c r="C112" i="2"/>
  <c r="C111" i="2"/>
  <c r="V110" i="2"/>
  <c r="C110" i="2" s="1"/>
  <c r="C109" i="2"/>
  <c r="C108" i="2"/>
  <c r="V107" i="2"/>
  <c r="J107" i="2"/>
  <c r="C107" i="2"/>
  <c r="J106" i="2"/>
  <c r="C106" i="2"/>
  <c r="J105" i="2"/>
  <c r="C105" i="2"/>
  <c r="C104" i="2"/>
  <c r="C103" i="2"/>
  <c r="J102" i="2"/>
  <c r="C102" i="2"/>
  <c r="C101" i="2"/>
  <c r="C100" i="2"/>
  <c r="C99" i="2"/>
  <c r="S98" i="2"/>
  <c r="L98" i="2"/>
  <c r="C98" i="2"/>
  <c r="N97" i="2"/>
  <c r="C97" i="2"/>
  <c r="J96" i="2"/>
  <c r="C96" i="2"/>
  <c r="J95" i="2"/>
  <c r="C95" i="2"/>
  <c r="Q94" i="2"/>
  <c r="C94" i="2"/>
  <c r="C93" i="2"/>
  <c r="S92" i="2"/>
  <c r="C92" i="2" s="1"/>
  <c r="J91" i="2"/>
  <c r="C91" i="2" s="1"/>
  <c r="Q90" i="2"/>
  <c r="C90" i="2" s="1"/>
  <c r="C89" i="2"/>
  <c r="C88" i="2"/>
  <c r="C87" i="2"/>
  <c r="C86" i="2"/>
  <c r="C85" i="2"/>
  <c r="C84" i="2"/>
  <c r="C83" i="2"/>
  <c r="C82" i="2"/>
  <c r="C81" i="2"/>
  <c r="C80" i="2"/>
  <c r="C79" i="2"/>
  <c r="C78" i="2"/>
  <c r="T77" i="2"/>
  <c r="C77" i="2" s="1"/>
  <c r="C76" i="2"/>
  <c r="C75" i="2"/>
  <c r="C74" i="2"/>
  <c r="C73" i="2"/>
  <c r="C72" i="2"/>
  <c r="C71" i="2"/>
  <c r="C70" i="2"/>
  <c r="U69" i="2"/>
  <c r="C69" i="2"/>
  <c r="C68" i="2"/>
  <c r="C67" i="2"/>
  <c r="C66" i="2"/>
  <c r="R65" i="2"/>
  <c r="C65" i="2" s="1"/>
  <c r="J65" i="2"/>
  <c r="C64" i="2"/>
  <c r="K63" i="2"/>
  <c r="C63" i="2"/>
  <c r="K62" i="2"/>
  <c r="C62" i="2"/>
  <c r="C61" i="2"/>
  <c r="C60" i="2"/>
  <c r="C59" i="2"/>
  <c r="Q58" i="2"/>
  <c r="J58" i="2"/>
  <c r="C58" i="2"/>
  <c r="Q57" i="2"/>
  <c r="C57" i="2"/>
  <c r="C56" i="2"/>
  <c r="C55" i="2"/>
  <c r="L54" i="2"/>
  <c r="C54" i="2"/>
  <c r="C53" i="2"/>
  <c r="C52" i="2"/>
  <c r="C51" i="2"/>
  <c r="Q50" i="2"/>
  <c r="C50" i="2" s="1"/>
  <c r="J49" i="2"/>
  <c r="C49" i="2" s="1"/>
  <c r="C48" i="2"/>
  <c r="C47" i="2"/>
  <c r="C46" i="2"/>
  <c r="J45" i="2"/>
  <c r="C45" i="2"/>
  <c r="C44" i="2"/>
  <c r="C43" i="2"/>
  <c r="C42" i="2"/>
  <c r="C41" i="2"/>
  <c r="J40" i="2"/>
  <c r="C40" i="2"/>
  <c r="C39" i="2"/>
  <c r="C38" i="2"/>
  <c r="C37" i="2"/>
  <c r="C36" i="2"/>
  <c r="C35" i="2"/>
  <c r="C34" i="2"/>
  <c r="C33" i="2"/>
  <c r="C32" i="2"/>
  <c r="J31" i="2"/>
  <c r="C31" i="2"/>
  <c r="C30" i="2"/>
  <c r="C29" i="2"/>
  <c r="C28" i="2"/>
  <c r="C27" i="2"/>
  <c r="C26" i="2"/>
  <c r="C25" i="2"/>
  <c r="C24" i="2"/>
  <c r="J23" i="2"/>
  <c r="C23" i="2" s="1"/>
  <c r="C22" i="2"/>
  <c r="C21" i="2"/>
  <c r="J20" i="2"/>
  <c r="C20" i="2" s="1"/>
  <c r="C19" i="2"/>
  <c r="C18" i="2"/>
  <c r="C17" i="2"/>
  <c r="C16" i="2"/>
  <c r="C15" i="2"/>
  <c r="C14" i="2"/>
  <c r="C13" i="2"/>
  <c r="C123" i="2"/>
  <c r="C164" i="2"/>
  <c r="C169" i="2"/>
  <c r="C180" i="2"/>
  <c r="C207" i="2"/>
  <c r="C216" i="2"/>
  <c r="C227" i="2"/>
  <c r="C262" i="2"/>
  <c r="C274" i="2"/>
  <c r="C288" i="2"/>
  <c r="C341" i="2"/>
  <c r="C364" i="2"/>
  <c r="C372" i="2"/>
  <c r="C375" i="2"/>
  <c r="K45" i="1"/>
  <c r="D45" i="1" s="1"/>
  <c r="D29" i="1"/>
  <c r="H381" i="1"/>
  <c r="L377" i="1"/>
  <c r="K375" i="1"/>
  <c r="K371" i="1"/>
  <c r="U371" i="1"/>
  <c r="M371" i="1"/>
  <c r="T369" i="1"/>
  <c r="U364" i="1"/>
  <c r="K346" i="1"/>
  <c r="L309" i="1"/>
  <c r="K298" i="1"/>
  <c r="K297" i="1"/>
  <c r="T295" i="1"/>
  <c r="V287" i="1"/>
  <c r="L276" i="1"/>
  <c r="T275" i="1"/>
  <c r="R274" i="1"/>
  <c r="K285" i="1"/>
  <c r="K283" i="1"/>
  <c r="K271" i="1"/>
  <c r="M260" i="1"/>
  <c r="W225" i="1"/>
  <c r="U223" i="1"/>
  <c r="R219" i="1"/>
  <c r="M216" i="1"/>
  <c r="L215" i="1"/>
  <c r="L208" i="1"/>
  <c r="K207" i="1"/>
  <c r="K206" i="1"/>
  <c r="V204" i="1"/>
  <c r="L202" i="1"/>
  <c r="O179" i="1"/>
  <c r="R173" i="1"/>
  <c r="K167" i="1"/>
  <c r="K164" i="1"/>
  <c r="W163" i="1"/>
  <c r="R155" i="1"/>
  <c r="R143" i="1"/>
  <c r="K142" i="1"/>
  <c r="K126" i="1"/>
  <c r="L123" i="1"/>
  <c r="N122" i="1"/>
  <c r="K122" i="1"/>
  <c r="K121" i="1"/>
  <c r="L120" i="1"/>
  <c r="K120" i="1"/>
  <c r="K119" i="1"/>
  <c r="K114" i="1"/>
  <c r="K113" i="1"/>
  <c r="R110" i="1"/>
  <c r="K107" i="1"/>
  <c r="K106" i="1"/>
  <c r="K105" i="1"/>
  <c r="K102" i="1"/>
  <c r="M98" i="1"/>
  <c r="U97" i="1"/>
  <c r="K95" i="1"/>
  <c r="T92" i="1"/>
  <c r="K91" i="1"/>
  <c r="R90" i="1"/>
  <c r="D82" i="1"/>
  <c r="W67" i="1"/>
  <c r="S65" i="1"/>
  <c r="T64" i="1"/>
  <c r="L63" i="1"/>
  <c r="L62" i="1"/>
  <c r="R58" i="1"/>
  <c r="R57" i="1"/>
  <c r="K55" i="1"/>
  <c r="M54" i="1"/>
  <c r="D54" i="1" s="1"/>
  <c r="R50" i="1"/>
  <c r="K49" i="1"/>
  <c r="K46" i="1"/>
  <c r="L42" i="1"/>
  <c r="K40" i="1"/>
  <c r="K39" i="1"/>
  <c r="K33" i="1"/>
  <c r="K31" i="1"/>
  <c r="D31" i="1" s="1"/>
  <c r="K27" i="1"/>
  <c r="K23" i="1"/>
  <c r="D23" i="1" s="1"/>
  <c r="K20" i="1"/>
  <c r="K19" i="1"/>
  <c r="K13" i="1"/>
  <c r="D14" i="1"/>
  <c r="D16" i="1"/>
  <c r="D17" i="1"/>
  <c r="D18" i="1"/>
  <c r="D19" i="1"/>
  <c r="D20" i="1"/>
  <c r="D22" i="1"/>
  <c r="D25" i="1"/>
  <c r="D26" i="1"/>
  <c r="D27" i="1"/>
  <c r="D28" i="1"/>
  <c r="D30" i="1"/>
  <c r="D33" i="1"/>
  <c r="D34" i="1"/>
  <c r="D36" i="1"/>
  <c r="D37" i="1"/>
  <c r="D39" i="1"/>
  <c r="D40" i="1"/>
  <c r="D41" i="1"/>
  <c r="D43" i="1"/>
  <c r="D44" i="1"/>
  <c r="D46" i="1"/>
  <c r="D47" i="1"/>
  <c r="D48" i="1"/>
  <c r="D49" i="1"/>
  <c r="D50" i="1"/>
  <c r="D51" i="1"/>
  <c r="D52" i="1"/>
  <c r="D53" i="1"/>
  <c r="D55" i="1"/>
  <c r="D56" i="1"/>
  <c r="D57" i="1"/>
  <c r="D59" i="1"/>
  <c r="D60" i="1"/>
  <c r="D61" i="1"/>
  <c r="D62" i="1"/>
  <c r="D63" i="1"/>
  <c r="D64" i="1"/>
  <c r="D66" i="1"/>
  <c r="D67" i="1"/>
  <c r="D68" i="1"/>
  <c r="D70" i="1"/>
  <c r="D71" i="1"/>
  <c r="D72" i="1"/>
  <c r="D73" i="1"/>
  <c r="D74" i="1"/>
  <c r="D75" i="1"/>
  <c r="D76" i="1"/>
  <c r="D78" i="1"/>
  <c r="D79" i="1"/>
  <c r="D80" i="1"/>
  <c r="D84" i="1"/>
  <c r="D85" i="1"/>
  <c r="D86" i="1"/>
  <c r="D87" i="1"/>
  <c r="D88" i="1"/>
  <c r="D89" i="1"/>
  <c r="D90" i="1"/>
  <c r="D91" i="1"/>
  <c r="D92" i="1"/>
  <c r="D93" i="1"/>
  <c r="D99" i="1"/>
  <c r="D100" i="1"/>
  <c r="D101" i="1"/>
  <c r="D102" i="1"/>
  <c r="D103" i="1"/>
  <c r="D104" i="1"/>
  <c r="D105" i="1"/>
  <c r="D106" i="1"/>
  <c r="D108" i="1"/>
  <c r="D111" i="1"/>
  <c r="D117" i="1"/>
  <c r="D121" i="1"/>
  <c r="D125" i="1"/>
  <c r="D126" i="1"/>
  <c r="D127" i="1"/>
  <c r="D128" i="1"/>
  <c r="D129" i="1"/>
  <c r="D130" i="1"/>
  <c r="D131" i="1"/>
  <c r="D132" i="1"/>
  <c r="D133" i="1"/>
  <c r="D134" i="1"/>
  <c r="D135" i="1"/>
  <c r="D137" i="1"/>
  <c r="D141" i="1"/>
  <c r="D146" i="1"/>
  <c r="D154" i="1"/>
  <c r="D158" i="1"/>
  <c r="D159" i="1"/>
  <c r="D160" i="1"/>
  <c r="D161" i="1"/>
  <c r="D166" i="1"/>
  <c r="D167" i="1"/>
  <c r="D168" i="1"/>
  <c r="D170" i="1"/>
  <c r="D171" i="1"/>
  <c r="D172" i="1"/>
  <c r="D175" i="1"/>
  <c r="D176" i="1"/>
  <c r="D177" i="1"/>
  <c r="D178" i="1"/>
  <c r="D179" i="1"/>
  <c r="D186" i="1"/>
  <c r="D188" i="1"/>
  <c r="D197" i="1"/>
  <c r="D198" i="1"/>
  <c r="D199" i="1"/>
  <c r="D200" i="1"/>
  <c r="D203" i="1"/>
  <c r="D205" i="1"/>
  <c r="D211" i="1"/>
  <c r="D212" i="1"/>
  <c r="D213" i="1"/>
  <c r="D214" i="1"/>
  <c r="D215" i="1"/>
  <c r="D218" i="1"/>
  <c r="D219" i="1"/>
  <c r="D220" i="1"/>
  <c r="D221" i="1"/>
  <c r="D222" i="1"/>
  <c r="D224" i="1"/>
  <c r="D225" i="1"/>
  <c r="D226" i="1"/>
  <c r="D228" i="1"/>
  <c r="D229" i="1"/>
  <c r="D230" i="1"/>
  <c r="D231" i="1"/>
  <c r="D233" i="1"/>
  <c r="D234" i="1"/>
  <c r="D235" i="1"/>
  <c r="D237" i="1"/>
  <c r="D238" i="1"/>
  <c r="D239" i="1"/>
  <c r="D242" i="1"/>
  <c r="D243" i="1"/>
  <c r="D244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4" i="1"/>
  <c r="D265" i="1"/>
  <c r="D266" i="1"/>
  <c r="D268" i="1"/>
  <c r="D270" i="1"/>
  <c r="D272" i="1"/>
  <c r="D275" i="1"/>
  <c r="D277" i="1"/>
  <c r="D278" i="1"/>
  <c r="D280" i="1"/>
  <c r="D282" i="1"/>
  <c r="D286" i="1"/>
  <c r="D289" i="1"/>
  <c r="D290" i="1"/>
  <c r="D291" i="1"/>
  <c r="D292" i="1"/>
  <c r="D293" i="1"/>
  <c r="D294" i="1"/>
  <c r="D296" i="1"/>
  <c r="D297" i="1"/>
  <c r="D299" i="1"/>
  <c r="D301" i="1"/>
  <c r="D302" i="1"/>
  <c r="D303" i="1"/>
  <c r="D304" i="1"/>
  <c r="D305" i="1"/>
  <c r="D310" i="1"/>
  <c r="D312" i="1"/>
  <c r="D314" i="1"/>
  <c r="D315" i="1"/>
  <c r="D317" i="1"/>
  <c r="D318" i="1"/>
  <c r="D319" i="1"/>
  <c r="D320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2" i="1"/>
  <c r="D343" i="1"/>
  <c r="D344" i="1"/>
  <c r="D345" i="1"/>
  <c r="D347" i="1"/>
  <c r="D348" i="1"/>
  <c r="D349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5" i="1"/>
  <c r="D368" i="1"/>
  <c r="D373" i="1"/>
  <c r="D374" i="1"/>
  <c r="D379" i="1"/>
  <c r="D380" i="1"/>
  <c r="D383" i="1"/>
  <c r="D13" i="1"/>
  <c r="D376" i="1"/>
  <c r="W382" i="1"/>
  <c r="R382" i="1"/>
  <c r="V381" i="1"/>
  <c r="K381" i="1"/>
  <c r="W375" i="1"/>
  <c r="D375" i="1"/>
  <c r="H370" i="1"/>
  <c r="L367" i="1"/>
  <c r="D367" i="1" s="1"/>
  <c r="K363" i="1"/>
  <c r="D363" i="1" s="1"/>
  <c r="U341" i="1"/>
  <c r="H341" i="1"/>
  <c r="D316" i="1"/>
  <c r="D311" i="1"/>
  <c r="U309" i="1"/>
  <c r="T309" i="1"/>
  <c r="R309" i="1"/>
  <c r="U308" i="1"/>
  <c r="K308" i="1"/>
  <c r="W307" i="1"/>
  <c r="D307" i="1"/>
  <c r="T300" i="1"/>
  <c r="D300" i="1"/>
  <c r="D276" i="1"/>
  <c r="U279" i="1"/>
  <c r="D271" i="1"/>
  <c r="E267" i="1"/>
  <c r="H263" i="1"/>
  <c r="K227" i="1"/>
  <c r="H227" i="1"/>
  <c r="D227" i="1"/>
  <c r="T240" i="1"/>
  <c r="K240" i="1"/>
  <c r="D240" i="1" s="1"/>
  <c r="W232" i="1"/>
  <c r="D232" i="1" s="1"/>
  <c r="R241" i="1"/>
  <c r="K241" i="1"/>
  <c r="K217" i="1"/>
  <c r="D217" i="1" s="1"/>
  <c r="K209" i="1"/>
  <c r="D209" i="1" s="1"/>
  <c r="L207" i="1"/>
  <c r="D207" i="1" s="1"/>
  <c r="M204" i="1"/>
  <c r="D204" i="1" s="1"/>
  <c r="L201" i="1"/>
  <c r="D201" i="1" s="1"/>
  <c r="L196" i="1"/>
  <c r="D196" i="1" s="1"/>
  <c r="V192" i="1"/>
  <c r="U192" i="1"/>
  <c r="V190" i="1"/>
  <c r="K189" i="1"/>
  <c r="D189" i="1"/>
  <c r="T182" i="1"/>
  <c r="D182" i="1"/>
  <c r="R187" i="1"/>
  <c r="D187" i="1"/>
  <c r="D173" i="1"/>
  <c r="U174" i="1"/>
  <c r="D174" i="1" s="1"/>
  <c r="K181" i="1"/>
  <c r="D181" i="1" s="1"/>
  <c r="D298" i="1"/>
  <c r="K295" i="1"/>
  <c r="T169" i="1"/>
  <c r="K162" i="1"/>
  <c r="D162" i="1"/>
  <c r="K140" i="1"/>
  <c r="W156" i="1"/>
  <c r="K156" i="1"/>
  <c r="T144" i="1"/>
  <c r="R144" i="1"/>
  <c r="L138" i="1"/>
  <c r="W164" i="1"/>
  <c r="M164" i="1"/>
  <c r="K163" i="1"/>
  <c r="D150" i="1"/>
  <c r="T139" i="1"/>
  <c r="R139" i="1"/>
  <c r="R165" i="1"/>
  <c r="K136" i="1"/>
  <c r="D136" i="1" s="1"/>
  <c r="W116" i="1"/>
  <c r="D116" i="1" s="1"/>
  <c r="W115" i="1"/>
  <c r="D115" i="1" s="1"/>
  <c r="W123" i="1"/>
  <c r="D123" i="1" s="1"/>
  <c r="W110" i="1"/>
  <c r="D110" i="1" s="1"/>
  <c r="W114" i="1"/>
  <c r="D114" i="1" s="1"/>
  <c r="W113" i="1"/>
  <c r="D113" i="1" s="1"/>
  <c r="W112" i="1"/>
  <c r="D112" i="1"/>
  <c r="W119" i="1"/>
  <c r="W118" i="1"/>
  <c r="D118" i="1" s="1"/>
  <c r="K118" i="1"/>
  <c r="W124" i="1"/>
  <c r="D124" i="1" s="1"/>
  <c r="K124" i="1"/>
  <c r="R122" i="1"/>
  <c r="D122" i="1" s="1"/>
  <c r="W120" i="1"/>
  <c r="H120" i="1"/>
  <c r="R95" i="1"/>
  <c r="D95" i="1" s="1"/>
  <c r="D109" i="1"/>
  <c r="W107" i="1"/>
  <c r="T98" i="1"/>
  <c r="D98" i="1" s="1"/>
  <c r="O97" i="1"/>
  <c r="D97" i="1" s="1"/>
  <c r="K96" i="1"/>
  <c r="D96" i="1" s="1"/>
  <c r="R94" i="1"/>
  <c r="D94" i="1" s="1"/>
  <c r="R81" i="1"/>
  <c r="D81" i="1" s="1"/>
  <c r="L83" i="1"/>
  <c r="D83" i="1" s="1"/>
  <c r="V69" i="1"/>
  <c r="D69" i="1" s="1"/>
  <c r="U77" i="1"/>
  <c r="D77" i="1" s="1"/>
  <c r="L58" i="1"/>
  <c r="K58" i="1"/>
  <c r="K65" i="1"/>
  <c r="D65" i="1" s="1"/>
  <c r="H42" i="1"/>
  <c r="D42" i="1" s="1"/>
  <c r="R38" i="1"/>
  <c r="D38" i="1" s="1"/>
  <c r="R24" i="1"/>
  <c r="D24" i="1" s="1"/>
  <c r="L21" i="1"/>
  <c r="D21" i="1" s="1"/>
  <c r="D32" i="1"/>
  <c r="D15" i="1"/>
  <c r="D58" i="1"/>
  <c r="D139" i="1"/>
  <c r="D107" i="1"/>
  <c r="D120" i="1"/>
  <c r="D119" i="1"/>
  <c r="D164" i="1"/>
  <c r="D138" i="1"/>
  <c r="D156" i="1"/>
  <c r="D241" i="1"/>
  <c r="K382" i="1"/>
  <c r="D382" i="1"/>
  <c r="K377" i="1"/>
  <c r="D377" i="1"/>
  <c r="U378" i="1"/>
  <c r="D378" i="1"/>
  <c r="T381" i="1"/>
  <c r="O381" i="1"/>
  <c r="D381" i="1" s="1"/>
  <c r="T372" i="1"/>
  <c r="R372" i="1"/>
  <c r="L372" i="1"/>
  <c r="D372" i="1" s="1"/>
  <c r="D371" i="1"/>
  <c r="D370" i="1"/>
  <c r="K369" i="1"/>
  <c r="D369" i="1"/>
  <c r="K364" i="1"/>
  <c r="D364" i="1"/>
  <c r="K366" i="1"/>
  <c r="D366" i="1"/>
  <c r="K350" i="1"/>
  <c r="D350" i="1"/>
  <c r="L341" i="1"/>
  <c r="D341" i="1"/>
  <c r="U346" i="1"/>
  <c r="D346" i="1"/>
  <c r="T321" i="1"/>
  <c r="R321" i="1"/>
  <c r="K313" i="1"/>
  <c r="D309" i="1"/>
  <c r="L308" i="1"/>
  <c r="D308" i="1"/>
  <c r="V306" i="1"/>
  <c r="D306" i="1"/>
  <c r="T288" i="1"/>
  <c r="R288" i="1"/>
  <c r="D288" i="1" s="1"/>
  <c r="U287" i="1"/>
  <c r="D287" i="1" s="1"/>
  <c r="L273" i="1"/>
  <c r="D273" i="1" s="1"/>
  <c r="T285" i="1"/>
  <c r="R285" i="1"/>
  <c r="K284" i="1"/>
  <c r="D284" i="1" s="1"/>
  <c r="U283" i="1"/>
  <c r="D283" i="1" s="1"/>
  <c r="D321" i="1"/>
  <c r="D313" i="1"/>
  <c r="K267" i="1"/>
  <c r="D267" i="1"/>
  <c r="O263" i="1"/>
  <c r="L247" i="1"/>
  <c r="D247" i="1" s="1"/>
  <c r="T246" i="1"/>
  <c r="R246" i="1"/>
  <c r="D246" i="1"/>
  <c r="U245" i="1"/>
  <c r="D245" i="1"/>
  <c r="T236" i="1"/>
  <c r="K223" i="1"/>
  <c r="D223" i="1" s="1"/>
  <c r="R216" i="1"/>
  <c r="D216" i="1" s="1"/>
  <c r="T206" i="1"/>
  <c r="D206" i="1" s="1"/>
  <c r="R206" i="1"/>
  <c r="T210" i="1"/>
  <c r="R210" i="1"/>
  <c r="T208" i="1"/>
  <c r="D208" i="1" s="1"/>
  <c r="K208" i="1"/>
  <c r="T202" i="1"/>
  <c r="K202" i="1"/>
  <c r="D202" i="1"/>
  <c r="D210" i="1"/>
  <c r="D236" i="1"/>
  <c r="W193" i="1"/>
  <c r="D193" i="1"/>
  <c r="W192" i="1"/>
  <c r="D192" i="1"/>
  <c r="W191" i="1"/>
  <c r="K191" i="1"/>
  <c r="D191" i="1" s="1"/>
  <c r="W190" i="1"/>
  <c r="L190" i="1"/>
  <c r="K190" i="1"/>
  <c r="D190" i="1" s="1"/>
  <c r="W195" i="1"/>
  <c r="D195" i="1"/>
  <c r="W194" i="1"/>
  <c r="D194" i="1"/>
  <c r="L183" i="1"/>
  <c r="R185" i="1"/>
  <c r="D185" i="1" s="1"/>
  <c r="K185" i="1"/>
  <c r="D184" i="1"/>
  <c r="U180" i="1"/>
  <c r="T180" i="1"/>
  <c r="V295" i="1"/>
  <c r="U295" i="1"/>
  <c r="D295" i="1" s="1"/>
  <c r="R169" i="1"/>
  <c r="D169" i="1"/>
  <c r="D142" i="1"/>
  <c r="K155" i="1"/>
  <c r="D155" i="1" s="1"/>
  <c r="D152" i="1"/>
  <c r="R163" i="1"/>
  <c r="D163" i="1"/>
  <c r="R157" i="1"/>
  <c r="D157" i="1"/>
  <c r="R153" i="1"/>
  <c r="D153" i="1"/>
  <c r="W151" i="1"/>
  <c r="D151" i="1"/>
  <c r="W149" i="1"/>
  <c r="D149" i="1"/>
  <c r="W148" i="1"/>
  <c r="D148" i="1"/>
  <c r="V147" i="1"/>
  <c r="U147" i="1"/>
  <c r="W145" i="1"/>
  <c r="D145" i="1"/>
  <c r="W165" i="1"/>
  <c r="U165" i="1"/>
  <c r="D165" i="1" s="1"/>
  <c r="D180" i="1"/>
  <c r="D147" i="1"/>
  <c r="D183" i="1"/>
  <c r="D285" i="1"/>
  <c r="K281" i="1"/>
  <c r="D281" i="1"/>
  <c r="D279" i="1"/>
  <c r="T274" i="1"/>
  <c r="D274" i="1" s="1"/>
  <c r="K269" i="1"/>
  <c r="D269" i="1" s="1"/>
  <c r="K263" i="1"/>
  <c r="D263" i="1" s="1"/>
  <c r="M262" i="1"/>
  <c r="K262" i="1"/>
  <c r="W144" i="1"/>
  <c r="D144" i="1" s="1"/>
  <c r="T143" i="1"/>
  <c r="D143" i="1" s="1"/>
  <c r="U140" i="1"/>
  <c r="D140" i="1"/>
  <c r="D35" i="1"/>
  <c r="D262" i="1"/>
  <c r="C34" i="3" l="1"/>
  <c r="C39" i="3"/>
  <c r="C44" i="3"/>
  <c r="C45" i="3"/>
  <c r="C54" i="3"/>
  <c r="C63" i="3"/>
  <c r="C64" i="3"/>
  <c r="C65" i="3"/>
  <c r="C98" i="3"/>
  <c r="C105" i="3"/>
  <c r="C120" i="3"/>
  <c r="C124" i="3"/>
  <c r="C140" i="3"/>
  <c r="C143" i="3"/>
  <c r="C151" i="3"/>
  <c r="C173" i="3"/>
  <c r="C180" i="3"/>
  <c r="C185" i="3"/>
  <c r="C189" i="3"/>
  <c r="C194" i="3"/>
  <c r="C201" i="3"/>
  <c r="C236" i="3"/>
  <c r="C281" i="3"/>
  <c r="C288" i="3"/>
  <c r="C321" i="3"/>
  <c r="C349" i="3"/>
  <c r="C366" i="3"/>
  <c r="C16" i="3"/>
  <c r="C50" i="3"/>
  <c r="C55" i="3"/>
  <c r="C83" i="3"/>
  <c r="C115" i="3"/>
  <c r="C145" i="3"/>
  <c r="C238" i="3"/>
  <c r="C381" i="3"/>
  <c r="C38" i="3"/>
  <c r="C87" i="3"/>
  <c r="C89" i="3"/>
  <c r="C147" i="3"/>
  <c r="C169" i="3"/>
  <c r="C182" i="3"/>
  <c r="C193" i="3"/>
  <c r="C358" i="3"/>
  <c r="C295" i="3"/>
  <c r="C210" i="3"/>
  <c r="C204" i="3"/>
  <c r="C216" i="3"/>
  <c r="C234" i="3"/>
  <c r="C235" i="3"/>
  <c r="C240" i="3"/>
  <c r="C247" i="3"/>
  <c r="C283" i="3"/>
  <c r="C284" i="3"/>
  <c r="C274" i="3"/>
  <c r="C275" i="3"/>
  <c r="C287" i="3"/>
  <c r="C313" i="3"/>
  <c r="C348" i="3"/>
  <c r="C364" i="3"/>
  <c r="C369" i="3"/>
  <c r="C35" i="3"/>
  <c r="C139" i="3"/>
  <c r="C199" i="3"/>
  <c r="C259" i="3"/>
  <c r="C300" i="3"/>
  <c r="C42" i="3"/>
  <c r="C186" i="3"/>
  <c r="C241" i="3"/>
  <c r="C33" i="3"/>
  <c r="C66" i="3"/>
  <c r="C46" i="3"/>
  <c r="C123" i="3"/>
  <c r="C174" i="3"/>
  <c r="C202" i="3"/>
  <c r="C31" i="3"/>
  <c r="C17" i="3"/>
  <c r="C18" i="3"/>
  <c r="C20" i="3"/>
  <c r="C24" i="3"/>
  <c r="C19" i="3"/>
  <c r="C47" i="3"/>
  <c r="C209" i="3"/>
  <c r="C219" i="3"/>
  <c r="C217" i="3"/>
  <c r="C225" i="3"/>
  <c r="C230" i="3"/>
  <c r="C262" i="3"/>
  <c r="C285" i="3"/>
  <c r="C273" i="3"/>
  <c r="C277" i="3"/>
  <c r="C291" i="3"/>
  <c r="C309" i="3"/>
  <c r="C355" i="3"/>
  <c r="C350" i="3"/>
  <c r="C375" i="3"/>
  <c r="C21" i="3"/>
  <c r="C49" i="3"/>
  <c r="C40" i="3"/>
  <c r="C56" i="3"/>
  <c r="C62" i="3"/>
  <c r="C67" i="3"/>
  <c r="C90" i="3"/>
  <c r="C101" i="3"/>
  <c r="C103" i="3"/>
  <c r="C109" i="3"/>
  <c r="C82" i="3"/>
  <c r="C95" i="3"/>
  <c r="C119" i="3"/>
  <c r="C126" i="3"/>
  <c r="C136" i="3"/>
  <c r="C165" i="3"/>
  <c r="C148" i="3"/>
  <c r="C168" i="3"/>
  <c r="C164" i="3"/>
  <c r="C138" i="3"/>
  <c r="C144" i="3"/>
  <c r="C152" i="3"/>
  <c r="C141" i="3"/>
  <c r="C162" i="3"/>
  <c r="C184" i="3"/>
  <c r="C191" i="3"/>
  <c r="C192" i="3"/>
  <c r="C53" i="3"/>
  <c r="C77" i="3"/>
  <c r="C92" i="3"/>
  <c r="C97" i="3"/>
  <c r="C100" i="3"/>
  <c r="C102" i="3"/>
  <c r="C121" i="3"/>
  <c r="C110" i="3"/>
  <c r="C116" i="3"/>
  <c r="C135" i="3"/>
  <c r="C170" i="3"/>
  <c r="C149" i="3"/>
  <c r="C150" i="3"/>
  <c r="C137" i="3"/>
  <c r="C163" i="3"/>
  <c r="C156" i="3"/>
  <c r="C142" i="3"/>
  <c r="C176" i="3"/>
  <c r="C179" i="3"/>
  <c r="C190" i="3"/>
</calcChain>
</file>

<file path=xl/sharedStrings.xml><?xml version="1.0" encoding="utf-8"?>
<sst xmlns="http://schemas.openxmlformats.org/spreadsheetml/2006/main" count="1237" uniqueCount="419">
  <si>
    <t>Адрес</t>
  </si>
  <si>
    <t>Большой пр.д.35в</t>
  </si>
  <si>
    <t>Мира ул.д.10</t>
  </si>
  <si>
    <t>н.р. Карповки д.18 Г</t>
  </si>
  <si>
    <t xml:space="preserve">Ак.Павлова ул.д.14 </t>
  </si>
  <si>
    <t xml:space="preserve">Каменноостровский пр.д.14 </t>
  </si>
  <si>
    <t xml:space="preserve">Каменноостровский пр.д.16 </t>
  </si>
  <si>
    <t>Каменноостровский пр.д.18/11</t>
  </si>
  <si>
    <t xml:space="preserve">Каменноостровский пр.д.22 </t>
  </si>
  <si>
    <t xml:space="preserve">Каменноостровский пр.д.24 </t>
  </si>
  <si>
    <t xml:space="preserve">Каменноостровский пр.д.25/2 </t>
  </si>
  <si>
    <t xml:space="preserve">Каменноостровский пр.д.27 </t>
  </si>
  <si>
    <t xml:space="preserve">Каменноостровский пр.д.29 </t>
  </si>
  <si>
    <t xml:space="preserve">Каменноостровский пр.д.35/75 </t>
  </si>
  <si>
    <t xml:space="preserve">Каменноостровский пр.д.38/96 </t>
  </si>
  <si>
    <t xml:space="preserve">Каменноостровский пр.д.39 </t>
  </si>
  <si>
    <t xml:space="preserve">Каменноостровский пр.д.41 </t>
  </si>
  <si>
    <t xml:space="preserve">Каменноостровский пр.д.43 </t>
  </si>
  <si>
    <t xml:space="preserve">Каменноостровский пр.д.45 </t>
  </si>
  <si>
    <t xml:space="preserve">Каменноостровский пр.д.47 </t>
  </si>
  <si>
    <t xml:space="preserve">Каменноостровский пр.д.53/22 </t>
  </si>
  <si>
    <t>Каменноостровский пр.д.57</t>
  </si>
  <si>
    <t xml:space="preserve">Каменноостровский пр.д.59 </t>
  </si>
  <si>
    <t>Каменноостровский пр.д.6</t>
  </si>
  <si>
    <t xml:space="preserve">Каменноостровский пр.д.61 </t>
  </si>
  <si>
    <t>Каменноостровский пр.д.65</t>
  </si>
  <si>
    <t xml:space="preserve">Каменноостровский пр.д20 </t>
  </si>
  <si>
    <t xml:space="preserve">Каменностровский пр.д.73/75 </t>
  </si>
  <si>
    <t xml:space="preserve">Котовского ул.д.1/10 </t>
  </si>
  <si>
    <t xml:space="preserve">Котовского ул.д.3/12 </t>
  </si>
  <si>
    <t xml:space="preserve">Котовского ул.д.5/14 </t>
  </si>
  <si>
    <t xml:space="preserve">Кронверкская  ул.д.25 </t>
  </si>
  <si>
    <t xml:space="preserve">Кронверкская ул.д. 12 </t>
  </si>
  <si>
    <t xml:space="preserve">Кронверкская ул.д.1/39 </t>
  </si>
  <si>
    <t xml:space="preserve">Кронверкская ул.д.14 </t>
  </si>
  <si>
    <t xml:space="preserve">Кронверкская ул.д.15 </t>
  </si>
  <si>
    <t xml:space="preserve">Кронверкская ул.д.16 </t>
  </si>
  <si>
    <t xml:space="preserve">Кронверкская ул.д.17/1 </t>
  </si>
  <si>
    <t xml:space="preserve">Кронверкская ул.д.27 </t>
  </si>
  <si>
    <t xml:space="preserve">Кронверкская ул.д.3 </t>
  </si>
  <si>
    <t xml:space="preserve">Кронверкский пр.45 </t>
  </si>
  <si>
    <t xml:space="preserve">Кронверкский пр.47 </t>
  </si>
  <si>
    <t xml:space="preserve">Кронверкский пр.д. 23 </t>
  </si>
  <si>
    <t xml:space="preserve">Кронверкский пр.д. 27 </t>
  </si>
  <si>
    <t xml:space="preserve">Кронверкский пр.д.29 </t>
  </si>
  <si>
    <t xml:space="preserve">Кронверкский пр.д.33 </t>
  </si>
  <si>
    <t xml:space="preserve">Кронверкский пр.д.35 </t>
  </si>
  <si>
    <t xml:space="preserve">Кронверкский пр.д.51 </t>
  </si>
  <si>
    <t xml:space="preserve">Кропоткина ул. д.15 </t>
  </si>
  <si>
    <t xml:space="preserve">Кропоткина ул. д.17 </t>
  </si>
  <si>
    <t xml:space="preserve">Кропоткина ул. д.19\8 </t>
  </si>
  <si>
    <t xml:space="preserve">Кропоткина ул. д.5 </t>
  </si>
  <si>
    <t xml:space="preserve">Кропоткина ул. д.7 </t>
  </si>
  <si>
    <t xml:space="preserve">Куйбышева ул. д.1/5 </t>
  </si>
  <si>
    <t xml:space="preserve">Куйбышева ул. д.31 </t>
  </si>
  <si>
    <t xml:space="preserve">Куйбышева ул. д.9/8 </t>
  </si>
  <si>
    <t xml:space="preserve">Куйбышева ул.д. 3 </t>
  </si>
  <si>
    <t xml:space="preserve">Куйбышева ул.д. 5 </t>
  </si>
  <si>
    <t xml:space="preserve">Куйбышева ул.д. 7 </t>
  </si>
  <si>
    <t xml:space="preserve">Куйбышева ул.д.10 </t>
  </si>
  <si>
    <t xml:space="preserve">Куйбышева ул.д.12 </t>
  </si>
  <si>
    <t xml:space="preserve">Куйбышева ул.д.14 </t>
  </si>
  <si>
    <t xml:space="preserve">Куйбышева ул.д.15 </t>
  </si>
  <si>
    <t xml:space="preserve">Куйбышева ул.д.19 </t>
  </si>
  <si>
    <t xml:space="preserve">Куйбышева ул.д.20 </t>
  </si>
  <si>
    <t xml:space="preserve">Куйбышева ул.д.21 </t>
  </si>
  <si>
    <t xml:space="preserve">Куйбышева ул.д.22 </t>
  </si>
  <si>
    <t xml:space="preserve">Куйбышева ул.д.23 </t>
  </si>
  <si>
    <t xml:space="preserve">Куйбышева ул.д.24 </t>
  </si>
  <si>
    <t xml:space="preserve">Куйбышева ул.д.27 </t>
  </si>
  <si>
    <t xml:space="preserve">Куйбышева ул.д.28 </t>
  </si>
  <si>
    <t xml:space="preserve">Куйбышева ул.д.29 </t>
  </si>
  <si>
    <t xml:space="preserve">Куйбышева ул.д.30 </t>
  </si>
  <si>
    <t xml:space="preserve">Куйбышева ул.д.32 </t>
  </si>
  <si>
    <t xml:space="preserve">Куйбышева ул.д.33/8 </t>
  </si>
  <si>
    <t xml:space="preserve">Куйбышева ул.д.34 </t>
  </si>
  <si>
    <t xml:space="preserve">Куйбышева ул.д.36 </t>
  </si>
  <si>
    <t xml:space="preserve">Куйбышева ул.д.38-40 </t>
  </si>
  <si>
    <t xml:space="preserve">Куйбышева ул.д.6 </t>
  </si>
  <si>
    <t xml:space="preserve">Куйбышева ул.д.8 </t>
  </si>
  <si>
    <t xml:space="preserve">Л.Толстого 1/3 </t>
  </si>
  <si>
    <t xml:space="preserve">Л.Толстого ул. д.4 </t>
  </si>
  <si>
    <t xml:space="preserve">Л.Толстого ул. д.5  </t>
  </si>
  <si>
    <t xml:space="preserve">Ленина ул. д.10 </t>
  </si>
  <si>
    <t xml:space="preserve">Ленина ул. д.11/64 </t>
  </si>
  <si>
    <t xml:space="preserve">Ленина ул. д.12/36 </t>
  </si>
  <si>
    <t xml:space="preserve">Ленина ул. д.13 </t>
  </si>
  <si>
    <t xml:space="preserve">Ленина ул. д.14/33 </t>
  </si>
  <si>
    <t xml:space="preserve">Ленина ул. д.19 </t>
  </si>
  <si>
    <t xml:space="preserve">Ленина ул. д.25 </t>
  </si>
  <si>
    <t xml:space="preserve">Ленина ул. д.27 </t>
  </si>
  <si>
    <t xml:space="preserve">Ленина ул. д.29 </t>
  </si>
  <si>
    <t xml:space="preserve">Ленина ул. д.31 </t>
  </si>
  <si>
    <t xml:space="preserve">Ленина ул. д.33 </t>
  </si>
  <si>
    <t xml:space="preserve">Ленина ул. д.35 </t>
  </si>
  <si>
    <t xml:space="preserve">Ленина ул. д.37 </t>
  </si>
  <si>
    <t xml:space="preserve">Ленина ул. д.39 </t>
  </si>
  <si>
    <t xml:space="preserve">Ленина ул. д.41 </t>
  </si>
  <si>
    <t xml:space="preserve">Ленина ул. д.8 </t>
  </si>
  <si>
    <t xml:space="preserve">Литераторов ул. д. 17 </t>
  </si>
  <si>
    <t xml:space="preserve">Литераторов ул.д.15 </t>
  </si>
  <si>
    <t xml:space="preserve">М.Монетная ул.д. 7 </t>
  </si>
  <si>
    <t xml:space="preserve">М.Посадская ул. д.19 </t>
  </si>
  <si>
    <t xml:space="preserve">М.Посадская ул. д.21 </t>
  </si>
  <si>
    <t xml:space="preserve">М.Посадская ул. д.25/4 </t>
  </si>
  <si>
    <t xml:space="preserve">М.Посадская ул. д.4 </t>
  </si>
  <si>
    <t xml:space="preserve">М.Посадская ул.д. 23 </t>
  </si>
  <si>
    <t xml:space="preserve">М.Посадская ул.д.12 </t>
  </si>
  <si>
    <t xml:space="preserve">М.Посадская ул.д.14 </t>
  </si>
  <si>
    <t xml:space="preserve">М.Посадская ул.д.16 </t>
  </si>
  <si>
    <t xml:space="preserve">М.Посадская ул.д.20 </t>
  </si>
  <si>
    <t xml:space="preserve">М.Посадская ул.д.6 </t>
  </si>
  <si>
    <t xml:space="preserve">М.Посадская ул.д.7/4 </t>
  </si>
  <si>
    <t xml:space="preserve">М.Посадская ул.д.8 </t>
  </si>
  <si>
    <t xml:space="preserve">М.Пушкарская ул. д.20/4 </t>
  </si>
  <si>
    <t xml:space="preserve">М.Пушкарская ул. д.22-24 </t>
  </si>
  <si>
    <t xml:space="preserve">М.Пушкарская ул. д.26 </t>
  </si>
  <si>
    <t xml:space="preserve">М.Пушкарская ул. д.28 </t>
  </si>
  <si>
    <t xml:space="preserve">М.Пушкарская ул. д.30 </t>
  </si>
  <si>
    <t xml:space="preserve">М.Пушкарская ул. д.32 </t>
  </si>
  <si>
    <t xml:space="preserve">М.Пушкарская ул. д.34 </t>
  </si>
  <si>
    <t xml:space="preserve">М.Пушкарская ул.д.4-6  </t>
  </si>
  <si>
    <t xml:space="preserve">Малый пр.д.70/18 </t>
  </si>
  <si>
    <t xml:space="preserve">Малый пр.д.72 </t>
  </si>
  <si>
    <t xml:space="preserve">Малый пр.д.74 </t>
  </si>
  <si>
    <t xml:space="preserve">Малый пр.д.82 </t>
  </si>
  <si>
    <t xml:space="preserve">Малый пр.д.84/86 </t>
  </si>
  <si>
    <t xml:space="preserve">Маркина ул.д.7 </t>
  </si>
  <si>
    <t>Матвеевский пер.д.2 в</t>
  </si>
  <si>
    <t xml:space="preserve">Мира ул. д.1/9 </t>
  </si>
  <si>
    <t xml:space="preserve">Мира ул. д.25 </t>
  </si>
  <si>
    <t xml:space="preserve">Мира ул. д.28 </t>
  </si>
  <si>
    <t xml:space="preserve">Мира ул. д.29 </t>
  </si>
  <si>
    <t xml:space="preserve">Мира ул. д.31 </t>
  </si>
  <si>
    <t xml:space="preserve">Мира ул. д.32 </t>
  </si>
  <si>
    <t xml:space="preserve">Мира ул. д.35 </t>
  </si>
  <si>
    <t xml:space="preserve">Мира ул.д. 23 </t>
  </si>
  <si>
    <t xml:space="preserve">Мира ул.д. 24 </t>
  </si>
  <si>
    <t>Мира ул.д.2/11</t>
  </si>
  <si>
    <t xml:space="preserve">Мира ул.д.6 </t>
  </si>
  <si>
    <t xml:space="preserve">Мира ул.д.7 </t>
  </si>
  <si>
    <t xml:space="preserve">Мира ул.д.9 </t>
  </si>
  <si>
    <t xml:space="preserve">Мичуринская ул.д.11/18 </t>
  </si>
  <si>
    <t xml:space="preserve">Мичуринская ул.д.12 </t>
  </si>
  <si>
    <t xml:space="preserve">Мичуринская ул.д.13 </t>
  </si>
  <si>
    <t xml:space="preserve">Мичуринская ул.д.21/11 </t>
  </si>
  <si>
    <t xml:space="preserve">Мичуринская ул.д.7 </t>
  </si>
  <si>
    <t xml:space="preserve">Мичуринская ул.д.9/11 </t>
  </si>
  <si>
    <t xml:space="preserve">н.р. Карповки д.16 </t>
  </si>
  <si>
    <t>Стоимость по видам выполненных работ (руб.)</t>
  </si>
  <si>
    <t xml:space="preserve">Ординарная ул. д.10 </t>
  </si>
  <si>
    <t xml:space="preserve">Ординарная ул. д.12 </t>
  </si>
  <si>
    <t xml:space="preserve">Ординарная ул. д.3 </t>
  </si>
  <si>
    <t xml:space="preserve">Ординарная ул. д.3 а </t>
  </si>
  <si>
    <t xml:space="preserve">Ординарная ул. д.5 </t>
  </si>
  <si>
    <t xml:space="preserve">Ординарная ул. д.6 </t>
  </si>
  <si>
    <t xml:space="preserve">Ординарная ул. д.8 </t>
  </si>
  <si>
    <t xml:space="preserve">Ординарная ул.д.18 </t>
  </si>
  <si>
    <t xml:space="preserve">Ординарная ул.д.19 </t>
  </si>
  <si>
    <t xml:space="preserve">Ординарная ул.д.20 </t>
  </si>
  <si>
    <t xml:space="preserve">Ординарная ул.д.21 </t>
  </si>
  <si>
    <t xml:space="preserve">Ординарная ул.д.7 </t>
  </si>
  <si>
    <t xml:space="preserve">Петровская наб. д.2/2 </t>
  </si>
  <si>
    <t xml:space="preserve">Петроградская наб. д.26-28 </t>
  </si>
  <si>
    <t xml:space="preserve">Б.Монетная ул.д.11 </t>
  </si>
  <si>
    <t xml:space="preserve">Б.Монетная ул.д.18 </t>
  </si>
  <si>
    <t xml:space="preserve"> ремонт кровли подрядным способом</t>
  </si>
  <si>
    <t xml:space="preserve"> ремонт кровли хозяйственным способом</t>
  </si>
  <si>
    <t xml:space="preserve"> ремонт и окраска фасада</t>
  </si>
  <si>
    <t xml:space="preserve"> ремонт лестничных клеток</t>
  </si>
  <si>
    <t xml:space="preserve"> косметический ремонт квартир (после протечек, пожара. умерших)</t>
  </si>
  <si>
    <t xml:space="preserve"> ремонт и замена дверей</t>
  </si>
  <si>
    <t xml:space="preserve"> ремонт и замена окон</t>
  </si>
  <si>
    <t>закрытие продухов</t>
  </si>
  <si>
    <t>антисептирование</t>
  </si>
  <si>
    <t>аварийно-восстановительный ремонт</t>
  </si>
  <si>
    <t>ремонт ГРЩ ВУ, ВРУ, ЭЩ и т.д</t>
  </si>
  <si>
    <t>замена и ремонт аппаратов защиты, замена установочной арматуры</t>
  </si>
  <si>
    <t>замена и ремонт электропроводки</t>
  </si>
  <si>
    <t xml:space="preserve"> ремонт и замена арматуры инженерных сетей</t>
  </si>
  <si>
    <t xml:space="preserve"> замена отопительных приборов</t>
  </si>
  <si>
    <t xml:space="preserve"> ремонт трубопроводов</t>
  </si>
  <si>
    <t xml:space="preserve"> ремонт дворовых покрытий</t>
  </si>
  <si>
    <t xml:space="preserve"> ремонт балконов, козырьков над входом</t>
  </si>
  <si>
    <t>ремонт и замена отдельных участков полов</t>
  </si>
  <si>
    <t xml:space="preserve"> восстановление водосточных </t>
  </si>
  <si>
    <t xml:space="preserve">Плуталова ул.д.10 </t>
  </si>
  <si>
    <t xml:space="preserve">Плуталова ул.д.18 </t>
  </si>
  <si>
    <t xml:space="preserve">Подковырова ул. д.10 </t>
  </si>
  <si>
    <t xml:space="preserve">Подковырова ул. д.11-13 </t>
  </si>
  <si>
    <t xml:space="preserve">Подковырова ул. д.14 </t>
  </si>
  <si>
    <t xml:space="preserve">Подковырова ул. д.20 </t>
  </si>
  <si>
    <t xml:space="preserve">Подковырова ул. д.22 </t>
  </si>
  <si>
    <t xml:space="preserve">Подковырова ул. д.25 </t>
  </si>
  <si>
    <t xml:space="preserve">Подковырова ул. д.31 </t>
  </si>
  <si>
    <t xml:space="preserve">Подковырова ул. д.33 </t>
  </si>
  <si>
    <t xml:space="preserve">Подковырова ул. д.43 </t>
  </si>
  <si>
    <t xml:space="preserve">Подковырова ул. д.7 </t>
  </si>
  <si>
    <t xml:space="preserve">Подковырова ул. д.8 </t>
  </si>
  <si>
    <t xml:space="preserve">Подковырова ул. д.9 </t>
  </si>
  <si>
    <t xml:space="preserve">Подковырова ул.д. 4 </t>
  </si>
  <si>
    <t xml:space="preserve">Подковыроваул. д.15-17 </t>
  </si>
  <si>
    <t xml:space="preserve">Подрезова ул. д.10 </t>
  </si>
  <si>
    <t xml:space="preserve">Подрезова ул. д.12 </t>
  </si>
  <si>
    <t xml:space="preserve">Подрезова ул. д.14/69 </t>
  </si>
  <si>
    <t xml:space="preserve">Подрезова ул. д.16 </t>
  </si>
  <si>
    <t xml:space="preserve">Подрезова ул. д.20 </t>
  </si>
  <si>
    <t xml:space="preserve">Подрезова ул. д.26 </t>
  </si>
  <si>
    <t xml:space="preserve">Подрезова ул. д.4 </t>
  </si>
  <si>
    <t xml:space="preserve">Подрезова ул. д.5 </t>
  </si>
  <si>
    <t xml:space="preserve">Подрезова ул. д.6 </t>
  </si>
  <si>
    <t xml:space="preserve">Подрезова ул. д.7 </t>
  </si>
  <si>
    <t xml:space="preserve">Подрезова ул.д.17/76 </t>
  </si>
  <si>
    <t xml:space="preserve">Полозова ул. д.10 </t>
  </si>
  <si>
    <t xml:space="preserve">Полозова ул. д.11 </t>
  </si>
  <si>
    <t xml:space="preserve">Полозова ул. д.12 </t>
  </si>
  <si>
    <t xml:space="preserve">Полозова ул. д.13/63 </t>
  </si>
  <si>
    <t xml:space="preserve">Полозова ул. д.14 </t>
  </si>
  <si>
    <t xml:space="preserve">Полозова ул. д.17/2 </t>
  </si>
  <si>
    <t xml:space="preserve">Полозова ул. д.21 </t>
  </si>
  <si>
    <t xml:space="preserve">Полозова ул. д.23 </t>
  </si>
  <si>
    <t xml:space="preserve">Полозова ул. д.3/8 </t>
  </si>
  <si>
    <t xml:space="preserve">Полозова ул. д.4 </t>
  </si>
  <si>
    <t xml:space="preserve">Полозова ул. д.5 </t>
  </si>
  <si>
    <t xml:space="preserve">Полозова ул. д.6/17 </t>
  </si>
  <si>
    <t xml:space="preserve">Полозова ул. д.7 </t>
  </si>
  <si>
    <t xml:space="preserve">Полозова ул. д.8 </t>
  </si>
  <si>
    <t xml:space="preserve">Полозова ул. д.9 </t>
  </si>
  <si>
    <t xml:space="preserve">Проф. Попова ул.,д.12  </t>
  </si>
  <si>
    <t xml:space="preserve">Рентгена ул. д.13 </t>
  </si>
  <si>
    <t xml:space="preserve">Рентгена ул. д.15/31 </t>
  </si>
  <si>
    <t xml:space="preserve">Рентгена ул. д.23 </t>
  </si>
  <si>
    <t xml:space="preserve">Рентгена ул. д.4 </t>
  </si>
  <si>
    <t xml:space="preserve">Рентгена ул.д. 6 </t>
  </si>
  <si>
    <t xml:space="preserve">Рентгена ул.д.11 </t>
  </si>
  <si>
    <t xml:space="preserve">Саблинская ул.д.13/15 </t>
  </si>
  <si>
    <t xml:space="preserve">Саблинская ул.д.3 </t>
  </si>
  <si>
    <t xml:space="preserve">Саблинская ул.д.5/21 </t>
  </si>
  <si>
    <t xml:space="preserve">Сытнинская ул. (пл.), д.3 </t>
  </si>
  <si>
    <t xml:space="preserve">Сытнинская ул. д.12 </t>
  </si>
  <si>
    <t xml:space="preserve">Сытнинская ул. д.14 </t>
  </si>
  <si>
    <t xml:space="preserve">Сытнинская ул. д.16 </t>
  </si>
  <si>
    <t xml:space="preserve">Троицкая пл. д.1/2 </t>
  </si>
  <si>
    <t xml:space="preserve">Чапаева ул.д.11/4 </t>
  </si>
  <si>
    <t xml:space="preserve">Чапаева ул.д.19 </t>
  </si>
  <si>
    <t xml:space="preserve">Чапаева ул.д.21 </t>
  </si>
  <si>
    <t xml:space="preserve">Чапаева ул.д.23 </t>
  </si>
  <si>
    <t xml:space="preserve">Чапаева ул.д.2а </t>
  </si>
  <si>
    <t xml:space="preserve">Чапыгина ул. д. 5 </t>
  </si>
  <si>
    <t xml:space="preserve">Чапыгина ул.д.11 </t>
  </si>
  <si>
    <t>Большой пр., д. 31</t>
  </si>
  <si>
    <t xml:space="preserve">Аптекарский пр..д.7а </t>
  </si>
  <si>
    <t xml:space="preserve">Б Монетная ул. д.19а </t>
  </si>
  <si>
    <t xml:space="preserve">Б.Монетная ул.д.21/9 </t>
  </si>
  <si>
    <t xml:space="preserve">Б.Монетная ул.д.22 </t>
  </si>
  <si>
    <t xml:space="preserve">Б.Монетная ул.д.23 </t>
  </si>
  <si>
    <t xml:space="preserve">Б.Монетная ул.д.24 </t>
  </si>
  <si>
    <t xml:space="preserve">Б.Монетная ул.д.25 </t>
  </si>
  <si>
    <t xml:space="preserve">Б.Монетная ул.д.29 </t>
  </si>
  <si>
    <t xml:space="preserve">Б.Монетная ул.д.3 </t>
  </si>
  <si>
    <t xml:space="preserve">Б.Монетная ул.д.30 </t>
  </si>
  <si>
    <t xml:space="preserve">Б.Монетная ул.д.31-33 </t>
  </si>
  <si>
    <t xml:space="preserve">Б.Монетная ул.д.32 </t>
  </si>
  <si>
    <t xml:space="preserve">Б.Монетная ул.д.4 </t>
  </si>
  <si>
    <t xml:space="preserve">Б.Монетная ул.д.6 </t>
  </si>
  <si>
    <t xml:space="preserve">Б.Монетная ул.д.7 </t>
  </si>
  <si>
    <t xml:space="preserve">Б.Монетная ул.д.9 </t>
  </si>
  <si>
    <t xml:space="preserve">Б.Посадская ул.д.1/10 </t>
  </si>
  <si>
    <t xml:space="preserve">Б.Посадская ул.д.10 </t>
  </si>
  <si>
    <t xml:space="preserve">Б.Посадская ул.д.18/7 </t>
  </si>
  <si>
    <t xml:space="preserve">Б.Посадская ул.д.4 </t>
  </si>
  <si>
    <t xml:space="preserve">Б.Посадская ул.д.9/5 </t>
  </si>
  <si>
    <t xml:space="preserve">Б.Пушкарская ул. д.23 </t>
  </si>
  <si>
    <t xml:space="preserve">Б.Пушкарская ул. д.25 </t>
  </si>
  <si>
    <t xml:space="preserve">Б.Пушкарская ул. д.27 </t>
  </si>
  <si>
    <t xml:space="preserve">Б.Пушкарская ул. д.29 </t>
  </si>
  <si>
    <t xml:space="preserve">Б.Пушкарская ул. д.31 </t>
  </si>
  <si>
    <t xml:space="preserve">Б.Пушкарская ул.д. 58 </t>
  </si>
  <si>
    <t xml:space="preserve">Петропавловская ул..д.8 </t>
  </si>
  <si>
    <t xml:space="preserve">Петропавловская ул.д.6 </t>
  </si>
  <si>
    <t xml:space="preserve">Плуталова ул. д.13 </t>
  </si>
  <si>
    <t xml:space="preserve">Плуталова ул. д.15 </t>
  </si>
  <si>
    <t xml:space="preserve">Плуталова ул. д.20 </t>
  </si>
  <si>
    <t xml:space="preserve">Плуталова ул. д.22 </t>
  </si>
  <si>
    <t xml:space="preserve">Плуталова ул.д. 8 </t>
  </si>
  <si>
    <t xml:space="preserve">Каменноостровкий пр.д.55 </t>
  </si>
  <si>
    <t xml:space="preserve">н.р. Карповки д.20 </t>
  </si>
  <si>
    <t xml:space="preserve">Н.р.Карповки д.25 </t>
  </si>
  <si>
    <t xml:space="preserve">Н.р.Карповки д.21 </t>
  </si>
  <si>
    <t xml:space="preserve">Н.р.Карповки д.19 </t>
  </si>
  <si>
    <t xml:space="preserve">Н.р.Карповки д.13 </t>
  </si>
  <si>
    <t xml:space="preserve">Кропоткина ул. д.11 </t>
  </si>
  <si>
    <t xml:space="preserve">Каменноостровский пр.д. 44в </t>
  </si>
  <si>
    <t xml:space="preserve">Каменноостровский пр.д 12 </t>
  </si>
  <si>
    <t xml:space="preserve">Каменноостровский пр.19/13 </t>
  </si>
  <si>
    <t xml:space="preserve">Каменноостровский пр. д.9/2 </t>
  </si>
  <si>
    <t xml:space="preserve">Каменноостровский пр. д.44б </t>
  </si>
  <si>
    <t xml:space="preserve">Каменноостровский пр. д.44/16 </t>
  </si>
  <si>
    <t xml:space="preserve">Каменноостровский пр. д.42б </t>
  </si>
  <si>
    <t xml:space="preserve">Каменноостровский пр. д.17 </t>
  </si>
  <si>
    <t xml:space="preserve">Каменноостровский пр. д.13/2 </t>
  </si>
  <si>
    <t xml:space="preserve">Вс.Вишневскогоул.д.5 </t>
  </si>
  <si>
    <t xml:space="preserve">Вс.Вишневского ул.д.8 </t>
  </si>
  <si>
    <t xml:space="preserve">Вс.Вишневского ул.д.7 </t>
  </si>
  <si>
    <t xml:space="preserve">Вс.Вишневского ул.д.3 </t>
  </si>
  <si>
    <t xml:space="preserve">Вс.Вишневского ул.д.2/12 </t>
  </si>
  <si>
    <t xml:space="preserve">Вс.Вишневского ул.д.10 </t>
  </si>
  <si>
    <t xml:space="preserve">Вс.Вишневского ул.д.1 </t>
  </si>
  <si>
    <t xml:space="preserve">Воскова ул.д. 9 </t>
  </si>
  <si>
    <t xml:space="preserve">Воскова ул.д.8/5 </t>
  </si>
  <si>
    <t xml:space="preserve">Воскова ул.д.6 </t>
  </si>
  <si>
    <t xml:space="preserve">Воскова ул.д.4 </t>
  </si>
  <si>
    <t xml:space="preserve">Воскова ул.д.2 </t>
  </si>
  <si>
    <t xml:space="preserve">Воскова ул.д.16 </t>
  </si>
  <si>
    <t xml:space="preserve">Воскова ул.д.12 </t>
  </si>
  <si>
    <t xml:space="preserve">Воскова ул.д.11 </t>
  </si>
  <si>
    <t xml:space="preserve">Воскова ул. д.31/20 </t>
  </si>
  <si>
    <t xml:space="preserve">Воскова ул. д.27/18 </t>
  </si>
  <si>
    <t xml:space="preserve">Воскова ул. д.26 </t>
  </si>
  <si>
    <t xml:space="preserve">Воскова ул. д.22 </t>
  </si>
  <si>
    <t xml:space="preserve">Воскова ул. д.20 </t>
  </si>
  <si>
    <t xml:space="preserve">Воскова ул. д.18/10 </t>
  </si>
  <si>
    <t xml:space="preserve">Воскова ул. д.15-17  </t>
  </si>
  <si>
    <t xml:space="preserve">Большой пр.д.98 </t>
  </si>
  <si>
    <t xml:space="preserve">Большой пр.д.94 </t>
  </si>
  <si>
    <t xml:space="preserve">Б.Пушкарская ул.д. 62 </t>
  </si>
  <si>
    <t xml:space="preserve">Б.Пушкарская ул.д.17 </t>
  </si>
  <si>
    <t xml:space="preserve">Б.Пушкарская ул.д.19 </t>
  </si>
  <si>
    <t xml:space="preserve">Большой пр.д.92 </t>
  </si>
  <si>
    <t xml:space="preserve">Большой пр.д.90 </t>
  </si>
  <si>
    <t xml:space="preserve">Большой пр.д.88 </t>
  </si>
  <si>
    <t xml:space="preserve">Большой пр.д.86 </t>
  </si>
  <si>
    <t xml:space="preserve">Большой пр.д.82 </t>
  </si>
  <si>
    <t xml:space="preserve">Большой пр.д.80 </t>
  </si>
  <si>
    <t xml:space="preserve">Большой пр.д.76/78 </t>
  </si>
  <si>
    <t xml:space="preserve">Большой пр.д.69 </t>
  </si>
  <si>
    <t xml:space="preserve">Большой пр.д.67 </t>
  </si>
  <si>
    <t xml:space="preserve">Большой пр.д.65 </t>
  </si>
  <si>
    <t xml:space="preserve">Большой пр.д.63 </t>
  </si>
  <si>
    <t xml:space="preserve">Большой пр.д.61/3 </t>
  </si>
  <si>
    <t xml:space="preserve">Большой пр.д.57/1 </t>
  </si>
  <si>
    <t xml:space="preserve">Большой пр.д.55/6 </t>
  </si>
  <si>
    <t xml:space="preserve">Большой пр.д.53 </t>
  </si>
  <si>
    <t xml:space="preserve">Большой пр.д.51/9 </t>
  </si>
  <si>
    <t xml:space="preserve">Большой пр.д.49/18 </t>
  </si>
  <si>
    <t xml:space="preserve">Большой пр.д.47 </t>
  </si>
  <si>
    <t xml:space="preserve">Большой пр.д.45 </t>
  </si>
  <si>
    <t xml:space="preserve">Большой пр.д.43 </t>
  </si>
  <si>
    <t>Большой пр.д.41</t>
  </si>
  <si>
    <t xml:space="preserve">Большой пр.д.39 </t>
  </si>
  <si>
    <t xml:space="preserve">Большой пр.д.33а </t>
  </si>
  <si>
    <t xml:space="preserve">Большой пр.д.33 </t>
  </si>
  <si>
    <t xml:space="preserve">Большой пр.д.106 </t>
  </si>
  <si>
    <t xml:space="preserve">Большой пр.д.104 </t>
  </si>
  <si>
    <t xml:space="preserve">Большой пр.д.102 </t>
  </si>
  <si>
    <t xml:space="preserve">Бармалеева ул.д.33 </t>
  </si>
  <si>
    <t xml:space="preserve">Бармалеева ул.д.21 </t>
  </si>
  <si>
    <t xml:space="preserve">Бармалеева ул. д.9 </t>
  </si>
  <si>
    <t xml:space="preserve">Бармалеева ул. д.7 </t>
  </si>
  <si>
    <t xml:space="preserve">Бармалеева ул. д.28 </t>
  </si>
  <si>
    <t xml:space="preserve">Бармалеева ул. д.26 </t>
  </si>
  <si>
    <t xml:space="preserve">Бармалеева ул. д.24 </t>
  </si>
  <si>
    <t xml:space="preserve">Бармалеева ул. д.20 </t>
  </si>
  <si>
    <t xml:space="preserve">Бармалеева ул. д.17/70 </t>
  </si>
  <si>
    <t xml:space="preserve">Бармалеева ул. д.15/69 </t>
  </si>
  <si>
    <t xml:space="preserve">Бармалеева ул. д.12 </t>
  </si>
  <si>
    <t xml:space="preserve">Бармалеева ул. д.10 </t>
  </si>
  <si>
    <t xml:space="preserve">Б.Пушкарская ул.д.60 </t>
  </si>
  <si>
    <t xml:space="preserve">Б.Пушкарская ул.д.56 </t>
  </si>
  <si>
    <t xml:space="preserve">Б.Пушкарская ул.д.54  </t>
  </si>
  <si>
    <t xml:space="preserve">Б.Пушкарская ул.д.52 </t>
  </si>
  <si>
    <t xml:space="preserve">Б.Пушкарская ул.д.50 </t>
  </si>
  <si>
    <t xml:space="preserve">Б.Пушкарская ул.д.47 </t>
  </si>
  <si>
    <t xml:space="preserve">Б.Пушкарская ул.д.46 </t>
  </si>
  <si>
    <t xml:space="preserve">Б.Пушкарская ул.д.45 </t>
  </si>
  <si>
    <t xml:space="preserve">Б.Пушкарская ул.д.21 </t>
  </si>
  <si>
    <t xml:space="preserve">Б.Пушкарская ул.д.24 </t>
  </si>
  <si>
    <t xml:space="preserve">Б.Пушкарская ул.д.26 </t>
  </si>
  <si>
    <t xml:space="preserve">Б.Пушкарская ул.д.28/2 </t>
  </si>
  <si>
    <t xml:space="preserve">Б.Пушкарская ул.д.30 </t>
  </si>
  <si>
    <t xml:space="preserve">Б.Пушкарская ул.д.32 </t>
  </si>
  <si>
    <t xml:space="preserve">Б.Пушкарская ул.д.34 </t>
  </si>
  <si>
    <t xml:space="preserve">Б.Пушкарская ул.д.38 </t>
  </si>
  <si>
    <t xml:space="preserve">Б.Пушкарская ул.д.41 </t>
  </si>
  <si>
    <t xml:space="preserve">Б.Пушкарская ул.д.42/16 </t>
  </si>
  <si>
    <t xml:space="preserve">Б.Пушкарская ул.д.43 </t>
  </si>
  <si>
    <t xml:space="preserve">Графтио ул.д. 4 </t>
  </si>
  <si>
    <t xml:space="preserve">Графтио ул.д.6 </t>
  </si>
  <si>
    <t xml:space="preserve">Дивенская ул.д.14 </t>
  </si>
  <si>
    <t xml:space="preserve">Дивенская ул.д.18/16 </t>
  </si>
  <si>
    <t xml:space="preserve">Дивенская ул.д.9/3 </t>
  </si>
  <si>
    <t>ремонт отмосток</t>
  </si>
  <si>
    <t>Нормализация температурно-влажностного режима</t>
  </si>
  <si>
    <t>Б.Монетная ул.д.35\15</t>
  </si>
  <si>
    <t>Б.Пушкарская ул.д. 40</t>
  </si>
  <si>
    <t>Выполнение текущего ремонта за полугодие  2013 года</t>
  </si>
  <si>
    <t>Выполнение текущего ремонта за полугодие 2013 года</t>
  </si>
  <si>
    <t>Утверждаю:</t>
  </si>
  <si>
    <t>Генеральный директор</t>
  </si>
  <si>
    <t>ООО "Жилкомсервис № 1 Петроградского района"</t>
  </si>
  <si>
    <t xml:space="preserve">В.В. Миронов_______________ </t>
  </si>
  <si>
    <t>Начисление по текущему ремонту на 2013 год</t>
  </si>
  <si>
    <t>-</t>
  </si>
  <si>
    <t>Выполнение текущего ремонта за 9 месяцев 2013 года</t>
  </si>
  <si>
    <t>аварийно-восстановительный ремонт (обследования)</t>
  </si>
  <si>
    <t>Начальник ПТО</t>
  </si>
  <si>
    <t>В.С.Житенева</t>
  </si>
  <si>
    <t>Алексеева Ю.К.</t>
  </si>
  <si>
    <t>Тел. 334-06-75</t>
  </si>
  <si>
    <t>Объем 100 м2</t>
  </si>
  <si>
    <t>объем м2</t>
  </si>
  <si>
    <t>объем,м2</t>
  </si>
  <si>
    <t>объем</t>
  </si>
  <si>
    <t>объем, м2</t>
  </si>
  <si>
    <t>Объем,м2</t>
  </si>
  <si>
    <t>Объем,шт</t>
  </si>
  <si>
    <t>Объем, мп</t>
  </si>
  <si>
    <t>Объем</t>
  </si>
  <si>
    <t>Выполнение текущего ремонта за  2013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</si>
</sst>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3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Calibri"/>
      <family val="2"/>
      <charset val="204"/>
    </font>
    <font>
      <sz val="26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164" fontId="21" fillId="0" borderId="0" applyFon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71">
    <xf numFmtId="0" fontId="0" fillId="0" borderId="0" xfId="0"/>
    <xf numFmtId="0" fontId="20" fillId="0" borderId="10" xfId="41" applyNumberFormat="1" applyFont="1" applyFill="1" applyBorder="1" applyAlignment="1" applyProtection="1">
      <alignment horizontal="center" vertical="center" wrapText="1"/>
    </xf>
    <xf numFmtId="0" fontId="19" fillId="0" borderId="11" xfId="41" applyFont="1" applyFill="1" applyBorder="1" applyAlignment="1">
      <alignment horizontal="center" vertical="center" wrapText="1"/>
    </xf>
    <xf numFmtId="4" fontId="20" fillId="0" borderId="11" xfId="41" applyNumberFormat="1" applyFont="1" applyFill="1" applyBorder="1" applyAlignment="1" applyProtection="1">
      <alignment horizontal="center" vertical="center" wrapText="1"/>
    </xf>
    <xf numFmtId="3" fontId="20" fillId="0" borderId="11" xfId="41" applyNumberFormat="1" applyFont="1" applyFill="1" applyBorder="1" applyAlignment="1" applyProtection="1">
      <alignment horizontal="center" vertical="center" wrapText="1"/>
    </xf>
    <xf numFmtId="1" fontId="20" fillId="0" borderId="11" xfId="41" applyNumberFormat="1" applyFont="1" applyFill="1" applyBorder="1" applyAlignment="1" applyProtection="1">
      <alignment horizontal="center" vertical="center" wrapText="1"/>
    </xf>
    <xf numFmtId="0" fontId="20" fillId="0" borderId="12" xfId="41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0" fillId="0" borderId="0" xfId="0" applyFill="1" applyBorder="1"/>
    <xf numFmtId="0" fontId="0" fillId="24" borderId="0" xfId="0" applyFill="1"/>
    <xf numFmtId="0" fontId="22" fillId="0" borderId="0" xfId="0" applyFont="1" applyFill="1"/>
    <xf numFmtId="0" fontId="22" fillId="0" borderId="0" xfId="0" applyFont="1" applyFill="1" applyBorder="1"/>
    <xf numFmtId="0" fontId="24" fillId="0" borderId="10" xfId="38" applyFont="1" applyFill="1" applyBorder="1"/>
    <xf numFmtId="0" fontId="24" fillId="0" borderId="10" xfId="38" applyFont="1" applyFill="1" applyBorder="1" applyAlignment="1">
      <alignment horizontal="left"/>
    </xf>
    <xf numFmtId="0" fontId="0" fillId="0" borderId="0" xfId="0" applyFont="1" applyFill="1" applyBorder="1"/>
    <xf numFmtId="0" fontId="0" fillId="0" borderId="0" xfId="0" applyFont="1" applyFill="1"/>
    <xf numFmtId="4" fontId="20" fillId="24" borderId="11" xfId="41" applyNumberFormat="1" applyFont="1" applyFill="1" applyBorder="1" applyAlignment="1" applyProtection="1">
      <alignment horizontal="center" vertical="center" wrapText="1"/>
    </xf>
    <xf numFmtId="0" fontId="24" fillId="0" borderId="11" xfId="38" applyFont="1" applyFill="1" applyBorder="1" applyAlignment="1">
      <alignment horizontal="left"/>
    </xf>
    <xf numFmtId="0" fontId="21" fillId="0" borderId="10" xfId="38" applyFont="1" applyFill="1" applyBorder="1" applyAlignment="1">
      <alignment horizontal="left"/>
    </xf>
    <xf numFmtId="0" fontId="25" fillId="0" borderId="0" xfId="0" applyFont="1" applyFill="1" applyBorder="1"/>
    <xf numFmtId="0" fontId="25" fillId="0" borderId="0" xfId="0" applyFont="1" applyFill="1"/>
    <xf numFmtId="0" fontId="21" fillId="0" borderId="10" xfId="38" applyFont="1" applyFill="1" applyBorder="1"/>
    <xf numFmtId="0" fontId="26" fillId="0" borderId="0" xfId="0" applyFont="1"/>
    <xf numFmtId="0" fontId="26" fillId="24" borderId="0" xfId="0" applyFont="1" applyFill="1"/>
    <xf numFmtId="0" fontId="0" fillId="0" borderId="0" xfId="0" applyFont="1" applyAlignment="1">
      <alignment horizontal="center"/>
    </xf>
    <xf numFmtId="0" fontId="0" fillId="0" borderId="0" xfId="0" applyFont="1"/>
    <xf numFmtId="0" fontId="27" fillId="0" borderId="0" xfId="0" applyFont="1" applyAlignment="1">
      <alignment horizontal="right"/>
    </xf>
    <xf numFmtId="0" fontId="28" fillId="0" borderId="0" xfId="0" applyFont="1" applyAlignment="1">
      <alignment horizontal="right"/>
    </xf>
    <xf numFmtId="0" fontId="29" fillId="0" borderId="0" xfId="0" applyFont="1" applyAlignment="1"/>
    <xf numFmtId="0" fontId="30" fillId="0" borderId="0" xfId="0" applyFont="1"/>
    <xf numFmtId="0" fontId="23" fillId="0" borderId="13" xfId="41" applyNumberFormat="1" applyFont="1" applyFill="1" applyBorder="1" applyAlignment="1" applyProtection="1">
      <alignment horizontal="center" vertical="center" wrapText="1"/>
    </xf>
    <xf numFmtId="0" fontId="23" fillId="0" borderId="11" xfId="41" applyNumberFormat="1" applyFont="1" applyFill="1" applyBorder="1" applyAlignment="1" applyProtection="1">
      <alignment horizontal="center" vertical="center" wrapText="1"/>
    </xf>
    <xf numFmtId="0" fontId="24" fillId="0" borderId="11" xfId="38" applyFont="1" applyFill="1" applyBorder="1" applyAlignment="1">
      <alignment horizontal="center"/>
    </xf>
    <xf numFmtId="0" fontId="24" fillId="0" borderId="10" xfId="38" applyFont="1" applyFill="1" applyBorder="1" applyAlignment="1">
      <alignment horizontal="center"/>
    </xf>
    <xf numFmtId="0" fontId="21" fillId="0" borderId="10" xfId="38" applyFont="1" applyFill="1" applyBorder="1" applyAlignment="1">
      <alignment horizontal="center"/>
    </xf>
    <xf numFmtId="0" fontId="24" fillId="0" borderId="10" xfId="0" applyFont="1" applyFill="1" applyBorder="1"/>
    <xf numFmtId="0" fontId="24" fillId="0" borderId="14" xfId="0" applyFont="1" applyFill="1" applyBorder="1"/>
    <xf numFmtId="2" fontId="24" fillId="0" borderId="10" xfId="0" applyNumberFormat="1" applyFont="1" applyFill="1" applyBorder="1"/>
    <xf numFmtId="0" fontId="21" fillId="0" borderId="10" xfId="0" applyFont="1" applyFill="1" applyBorder="1"/>
    <xf numFmtId="0" fontId="21" fillId="0" borderId="14" xfId="0" applyFont="1" applyFill="1" applyBorder="1"/>
    <xf numFmtId="0" fontId="24" fillId="0" borderId="0" xfId="0" applyFont="1" applyFill="1"/>
    <xf numFmtId="0" fontId="31" fillId="0" borderId="10" xfId="0" applyFont="1" applyFill="1" applyBorder="1"/>
    <xf numFmtId="0" fontId="31" fillId="0" borderId="14" xfId="0" applyFont="1" applyFill="1" applyBorder="1"/>
    <xf numFmtId="4" fontId="24" fillId="0" borderId="10" xfId="38" applyNumberFormat="1" applyFont="1" applyFill="1" applyBorder="1" applyAlignment="1">
      <alignment horizontal="center"/>
    </xf>
    <xf numFmtId="0" fontId="24" fillId="24" borderId="10" xfId="38" applyFont="1" applyFill="1" applyBorder="1" applyAlignment="1">
      <alignment horizontal="left"/>
    </xf>
    <xf numFmtId="0" fontId="24" fillId="24" borderId="10" xfId="38" applyFont="1" applyFill="1" applyBorder="1" applyAlignment="1">
      <alignment horizontal="center"/>
    </xf>
    <xf numFmtId="0" fontId="24" fillId="24" borderId="10" xfId="0" applyFont="1" applyFill="1" applyBorder="1"/>
    <xf numFmtId="0" fontId="24" fillId="24" borderId="14" xfId="0" applyFont="1" applyFill="1" applyBorder="1"/>
    <xf numFmtId="0" fontId="23" fillId="0" borderId="15" xfId="41" applyNumberFormat="1" applyFont="1" applyFill="1" applyBorder="1" applyAlignment="1" applyProtection="1">
      <alignment vertical="center" wrapText="1"/>
    </xf>
    <xf numFmtId="0" fontId="23" fillId="0" borderId="10" xfId="41" applyNumberFormat="1" applyFont="1" applyFill="1" applyBorder="1" applyAlignment="1" applyProtection="1">
      <alignment vertical="center" wrapText="1"/>
    </xf>
    <xf numFmtId="0" fontId="31" fillId="0" borderId="10" xfId="38" applyFont="1" applyFill="1" applyBorder="1" applyAlignment="1">
      <alignment horizontal="left"/>
    </xf>
    <xf numFmtId="0" fontId="31" fillId="0" borderId="10" xfId="38" applyFont="1" applyFill="1" applyBorder="1" applyAlignment="1">
      <alignment horizontal="center"/>
    </xf>
    <xf numFmtId="0" fontId="24" fillId="0" borderId="11" xfId="0" applyFont="1" applyFill="1" applyBorder="1"/>
    <xf numFmtId="0" fontId="24" fillId="0" borderId="16" xfId="0" applyFont="1" applyFill="1" applyBorder="1"/>
    <xf numFmtId="0" fontId="0" fillId="0" borderId="17" xfId="0" applyFill="1" applyBorder="1"/>
    <xf numFmtId="0" fontId="31" fillId="0" borderId="10" xfId="38" applyFont="1" applyFill="1" applyBorder="1"/>
    <xf numFmtId="0" fontId="32" fillId="0" borderId="0" xfId="0" applyFont="1" applyFill="1"/>
    <xf numFmtId="0" fontId="24" fillId="24" borderId="10" xfId="38" applyFont="1" applyFill="1" applyBorder="1"/>
    <xf numFmtId="0" fontId="0" fillId="0" borderId="13" xfId="0" applyBorder="1" applyAlignment="1"/>
    <xf numFmtId="0" fontId="0" fillId="0" borderId="18" xfId="0" applyBorder="1" applyAlignment="1"/>
    <xf numFmtId="0" fontId="0" fillId="0" borderId="10" xfId="0" applyBorder="1" applyAlignment="1"/>
    <xf numFmtId="0" fontId="35" fillId="0" borderId="0" xfId="38" applyFont="1" applyFill="1" applyBorder="1" applyAlignment="1">
      <alignment horizontal="left"/>
    </xf>
    <xf numFmtId="0" fontId="33" fillId="0" borderId="0" xfId="0" applyFont="1"/>
    <xf numFmtId="0" fontId="0" fillId="0" borderId="13" xfId="0" applyFill="1" applyBorder="1" applyAlignment="1"/>
    <xf numFmtId="0" fontId="24" fillId="0" borderId="0" xfId="0" applyFont="1" applyFill="1" applyBorder="1"/>
    <xf numFmtId="0" fontId="34" fillId="0" borderId="0" xfId="0" applyFont="1" applyAlignment="1">
      <alignment horizontal="center"/>
    </xf>
    <xf numFmtId="0" fontId="0" fillId="0" borderId="13" xfId="0" applyBorder="1" applyAlignment="1">
      <alignment horizontal="center"/>
    </xf>
    <xf numFmtId="0" fontId="0" fillId="0" borderId="13" xfId="0" applyBorder="1" applyAlignment="1"/>
    <xf numFmtId="0" fontId="0" fillId="0" borderId="18" xfId="0" applyBorder="1" applyAlignment="1"/>
    <xf numFmtId="0" fontId="23" fillId="0" borderId="10" xfId="41" applyNumberFormat="1" applyFont="1" applyFill="1" applyBorder="1" applyAlignment="1" applyProtection="1">
      <alignment horizontal="center" vertical="center" wrapText="1"/>
    </xf>
    <xf numFmtId="0" fontId="34" fillId="0" borderId="0" xfId="0" applyFont="1" applyAlignment="1">
      <alignment horizontal="center"/>
    </xf>
  </cellXfs>
  <cellStyles count="50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Денежный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37"/>
    <cellStyle name="Обычный 2 2" xfId="38"/>
    <cellStyle name="Обычный 2_15.02.2013" xfId="39"/>
    <cellStyle name="Обычный 3" xfId="40"/>
    <cellStyle name="Обычный 4" xfId="41"/>
    <cellStyle name="Обычный 5" xfId="42"/>
    <cellStyle name="Обычный 6" xfId="43"/>
    <cellStyle name="Плохой 2" xfId="44"/>
    <cellStyle name="Пояснение 2" xfId="45"/>
    <cellStyle name="Примечание 2" xfId="46"/>
    <cellStyle name="Связанная ячейка 2" xfId="47"/>
    <cellStyle name="Текст предупреждения 2" xfId="48"/>
    <cellStyle name="Хороший 2" xfId="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A384"/>
  <sheetViews>
    <sheetView topLeftCell="B9" workbookViewId="0">
      <selection activeCell="L55" sqref="L55"/>
    </sheetView>
  </sheetViews>
  <sheetFormatPr defaultRowHeight="14.5" x14ac:dyDescent="0.35"/>
  <cols>
    <col min="1" max="1" width="0.26953125" customWidth="1"/>
    <col min="2" max="2" width="32.54296875" customWidth="1"/>
    <col min="3" max="3" width="15.1796875" customWidth="1"/>
    <col min="4" max="4" width="9.54296875" bestFit="1" customWidth="1"/>
    <col min="7" max="7" width="9.1796875" style="9"/>
    <col min="25" max="26" width="9.26953125" bestFit="1" customWidth="1"/>
  </cols>
  <sheetData>
    <row r="1" spans="2:27" ht="24" hidden="1" customHeight="1" x14ac:dyDescent="0.25"/>
    <row r="2" spans="2:27" ht="15" hidden="1" x14ac:dyDescent="0.25"/>
    <row r="3" spans="2:27" ht="15.5" x14ac:dyDescent="0.35">
      <c r="V3" s="24"/>
      <c r="W3" s="24"/>
      <c r="X3" s="24"/>
      <c r="Y3" s="25"/>
      <c r="Z3" s="26" t="s">
        <v>397</v>
      </c>
    </row>
    <row r="4" spans="2:27" ht="15.5" x14ac:dyDescent="0.35">
      <c r="V4" s="24"/>
      <c r="W4" s="24"/>
      <c r="X4" s="24"/>
      <c r="Y4" s="25"/>
      <c r="Z4" s="27" t="s">
        <v>398</v>
      </c>
    </row>
    <row r="5" spans="2:27" ht="15.5" x14ac:dyDescent="0.35">
      <c r="V5" s="24"/>
      <c r="W5" s="24"/>
      <c r="X5" s="24"/>
      <c r="Y5" s="25"/>
      <c r="Z5" s="27" t="s">
        <v>399</v>
      </c>
    </row>
    <row r="6" spans="2:27" ht="21" x14ac:dyDescent="0.5">
      <c r="V6" s="28"/>
      <c r="W6" s="28"/>
      <c r="X6" s="28"/>
      <c r="Y6" s="29"/>
      <c r="Z6" s="27" t="s">
        <v>400</v>
      </c>
    </row>
    <row r="9" spans="2:27" ht="33.5" x14ac:dyDescent="0.75">
      <c r="D9" s="22" t="s">
        <v>396</v>
      </c>
      <c r="E9" s="22"/>
      <c r="F9" s="22"/>
      <c r="G9" s="23"/>
      <c r="H9" s="22"/>
      <c r="I9" s="22"/>
    </row>
    <row r="11" spans="2:27" ht="105" customHeight="1" x14ac:dyDescent="0.35">
      <c r="B11" s="69" t="s">
        <v>0</v>
      </c>
      <c r="C11" s="30"/>
      <c r="D11" s="66" t="s">
        <v>149</v>
      </c>
      <c r="E11" s="67"/>
      <c r="F11" s="67"/>
      <c r="G11" s="67"/>
      <c r="H11" s="67"/>
      <c r="I11" s="67"/>
      <c r="J11" s="67"/>
      <c r="K11" s="66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6"/>
      <c r="Z11" s="68"/>
    </row>
    <row r="12" spans="2:27" ht="116.25" customHeight="1" x14ac:dyDescent="0.35">
      <c r="B12" s="69"/>
      <c r="C12" s="31" t="s">
        <v>401</v>
      </c>
      <c r="D12" s="2" t="s">
        <v>395</v>
      </c>
      <c r="E12" s="3" t="s">
        <v>167</v>
      </c>
      <c r="F12" s="3" t="s">
        <v>166</v>
      </c>
      <c r="G12" s="16" t="s">
        <v>392</v>
      </c>
      <c r="H12" s="4" t="s">
        <v>168</v>
      </c>
      <c r="I12" s="4" t="s">
        <v>169</v>
      </c>
      <c r="J12" s="4" t="s">
        <v>170</v>
      </c>
      <c r="K12" s="4" t="s">
        <v>185</v>
      </c>
      <c r="L12" s="4" t="s">
        <v>171</v>
      </c>
      <c r="M12" s="5" t="s">
        <v>172</v>
      </c>
      <c r="N12" s="5" t="s">
        <v>391</v>
      </c>
      <c r="O12" s="5" t="s">
        <v>184</v>
      </c>
      <c r="P12" s="5" t="s">
        <v>183</v>
      </c>
      <c r="Q12" s="5" t="s">
        <v>182</v>
      </c>
      <c r="R12" s="5" t="s">
        <v>181</v>
      </c>
      <c r="S12" s="5" t="s">
        <v>180</v>
      </c>
      <c r="T12" s="5" t="s">
        <v>179</v>
      </c>
      <c r="U12" s="5" t="s">
        <v>178</v>
      </c>
      <c r="V12" s="5" t="s">
        <v>177</v>
      </c>
      <c r="W12" s="5" t="s">
        <v>176</v>
      </c>
      <c r="X12" s="6" t="s">
        <v>175</v>
      </c>
      <c r="Y12" s="1" t="s">
        <v>174</v>
      </c>
      <c r="Z12" s="1" t="s">
        <v>173</v>
      </c>
    </row>
    <row r="13" spans="2:27" s="7" customFormat="1" ht="15.75" hidden="1" customHeight="1" x14ac:dyDescent="0.25">
      <c r="B13" s="17" t="s">
        <v>250</v>
      </c>
      <c r="C13" s="32">
        <v>554250.23999999999</v>
      </c>
      <c r="D13" s="35">
        <f>E13+F13+H13+I13+J13+K13+L13+M13+O13+P13+Q13+R13+S13+T13+U13+V13+W13+X13+Y13+Z13+G13</f>
        <v>24441.778999999999</v>
      </c>
      <c r="E13" s="35"/>
      <c r="F13" s="35"/>
      <c r="G13" s="35"/>
      <c r="H13" s="35"/>
      <c r="I13" s="35"/>
      <c r="J13" s="35"/>
      <c r="K13" s="35">
        <f>865.55+6677</f>
        <v>7542.55</v>
      </c>
      <c r="L13" s="35">
        <v>376.47899999999998</v>
      </c>
      <c r="M13" s="35"/>
      <c r="N13" s="35"/>
      <c r="O13" s="35"/>
      <c r="P13" s="35"/>
      <c r="Q13" s="35"/>
      <c r="R13" s="35">
        <v>4258.95</v>
      </c>
      <c r="S13" s="35">
        <v>4353.5</v>
      </c>
      <c r="T13" s="35"/>
      <c r="U13" s="35"/>
      <c r="V13" s="35">
        <v>2036.1</v>
      </c>
      <c r="W13" s="36">
        <v>1931.2</v>
      </c>
      <c r="X13" s="35"/>
      <c r="Y13" s="35"/>
      <c r="Z13" s="35">
        <v>3943</v>
      </c>
      <c r="AA13" s="8"/>
    </row>
    <row r="14" spans="2:27" s="7" customFormat="1" ht="15.75" hidden="1" customHeight="1" x14ac:dyDescent="0.25">
      <c r="B14" s="12" t="s">
        <v>4</v>
      </c>
      <c r="C14" s="33">
        <v>348305.47</v>
      </c>
      <c r="D14" s="35">
        <f t="shared" ref="D14:D78" si="0">E14+F14+H14+I14+J14+K14+L14+M14+O14+P14+Q14+R14+S14+T14+U14+V14+W14+X14+Y14+Z14+G14</f>
        <v>189061.46</v>
      </c>
      <c r="E14" s="35"/>
      <c r="F14" s="35"/>
      <c r="G14" s="35"/>
      <c r="H14" s="35"/>
      <c r="I14" s="35"/>
      <c r="J14" s="35"/>
      <c r="K14" s="35">
        <v>2658.35</v>
      </c>
      <c r="L14" s="35"/>
      <c r="M14" s="35"/>
      <c r="N14" s="35"/>
      <c r="O14" s="35"/>
      <c r="P14" s="35"/>
      <c r="Q14" s="35"/>
      <c r="R14" s="35">
        <v>3735</v>
      </c>
      <c r="S14" s="35"/>
      <c r="T14" s="35">
        <v>346</v>
      </c>
      <c r="U14" s="35"/>
      <c r="V14" s="35"/>
      <c r="W14" s="36">
        <v>865.52</v>
      </c>
      <c r="X14" s="35"/>
      <c r="Y14" s="35">
        <v>181456.59</v>
      </c>
      <c r="Z14" s="35"/>
      <c r="AA14" s="8"/>
    </row>
    <row r="15" spans="2:27" s="7" customFormat="1" ht="15.75" hidden="1" customHeight="1" x14ac:dyDescent="0.25">
      <c r="B15" s="12" t="s">
        <v>251</v>
      </c>
      <c r="C15" s="33">
        <v>61793.31</v>
      </c>
      <c r="D15" s="35">
        <f t="shared" si="0"/>
        <v>61497.65</v>
      </c>
      <c r="E15" s="35"/>
      <c r="F15" s="35"/>
      <c r="G15" s="35"/>
      <c r="H15" s="35"/>
      <c r="I15" s="35"/>
      <c r="J15" s="35"/>
      <c r="K15" s="35">
        <v>6497.46</v>
      </c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6"/>
      <c r="X15" s="35"/>
      <c r="Y15" s="35">
        <v>55000.19</v>
      </c>
      <c r="Z15" s="35"/>
      <c r="AA15" s="8"/>
    </row>
    <row r="16" spans="2:27" s="7" customFormat="1" ht="15.75" hidden="1" customHeight="1" x14ac:dyDescent="0.25">
      <c r="B16" s="13" t="s">
        <v>252</v>
      </c>
      <c r="C16" s="33">
        <v>168564</v>
      </c>
      <c r="D16" s="35">
        <f t="shared" si="0"/>
        <v>3072</v>
      </c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>
        <v>2547</v>
      </c>
      <c r="S16" s="35"/>
      <c r="T16" s="35">
        <v>525</v>
      </c>
      <c r="U16" s="35"/>
      <c r="V16" s="35"/>
      <c r="W16" s="36"/>
      <c r="X16" s="35"/>
      <c r="Y16" s="35"/>
      <c r="Z16" s="35"/>
      <c r="AA16" s="8"/>
    </row>
    <row r="17" spans="2:27" s="7" customFormat="1" ht="15.75" hidden="1" customHeight="1" x14ac:dyDescent="0.25">
      <c r="B17" s="12" t="s">
        <v>164</v>
      </c>
      <c r="C17" s="33">
        <v>23097.119999999999</v>
      </c>
      <c r="D17" s="35">
        <f t="shared" si="0"/>
        <v>11954</v>
      </c>
      <c r="E17" s="35"/>
      <c r="F17" s="35"/>
      <c r="G17" s="35"/>
      <c r="H17" s="35">
        <v>845</v>
      </c>
      <c r="I17" s="35"/>
      <c r="J17" s="35"/>
      <c r="K17" s="35">
        <v>4506</v>
      </c>
      <c r="L17" s="35"/>
      <c r="M17" s="35"/>
      <c r="N17" s="35"/>
      <c r="O17" s="35">
        <v>4864</v>
      </c>
      <c r="P17" s="35"/>
      <c r="Q17" s="35"/>
      <c r="R17" s="35"/>
      <c r="S17" s="35"/>
      <c r="T17" s="35"/>
      <c r="U17" s="35"/>
      <c r="V17" s="35"/>
      <c r="W17" s="36">
        <v>1739</v>
      </c>
      <c r="X17" s="35"/>
      <c r="Y17" s="35"/>
      <c r="Z17" s="35"/>
      <c r="AA17" s="8"/>
    </row>
    <row r="18" spans="2:27" s="7" customFormat="1" ht="15.75" hidden="1" customHeight="1" x14ac:dyDescent="0.25">
      <c r="B18" s="13" t="s">
        <v>165</v>
      </c>
      <c r="C18" s="33">
        <v>349344.84</v>
      </c>
      <c r="D18" s="35">
        <f t="shared" si="0"/>
        <v>9724.259</v>
      </c>
      <c r="E18" s="35"/>
      <c r="F18" s="35"/>
      <c r="G18" s="35"/>
      <c r="H18" s="35"/>
      <c r="I18" s="35"/>
      <c r="J18" s="35"/>
      <c r="K18" s="35">
        <v>457</v>
      </c>
      <c r="L18" s="35">
        <v>367.47899999999998</v>
      </c>
      <c r="M18" s="35">
        <v>1795</v>
      </c>
      <c r="N18" s="35"/>
      <c r="O18" s="35"/>
      <c r="P18" s="35"/>
      <c r="Q18" s="35"/>
      <c r="R18" s="35">
        <v>4414</v>
      </c>
      <c r="S18" s="35"/>
      <c r="T18" s="35"/>
      <c r="U18" s="35"/>
      <c r="V18" s="35">
        <v>2690.78</v>
      </c>
      <c r="W18" s="36"/>
      <c r="X18" s="35"/>
      <c r="Y18" s="35"/>
      <c r="Z18" s="35"/>
      <c r="AA18" s="8"/>
    </row>
    <row r="19" spans="2:27" s="7" customFormat="1" ht="15.75" hidden="1" customHeight="1" x14ac:dyDescent="0.25">
      <c r="B19" s="13" t="s">
        <v>253</v>
      </c>
      <c r="C19" s="33">
        <v>351658.08</v>
      </c>
      <c r="D19" s="35">
        <f t="shared" si="0"/>
        <v>15860.65</v>
      </c>
      <c r="E19" s="35"/>
      <c r="F19" s="35"/>
      <c r="G19" s="35"/>
      <c r="H19" s="35"/>
      <c r="I19" s="35"/>
      <c r="J19" s="35"/>
      <c r="K19" s="35">
        <f>157.65+2056</f>
        <v>2213.65</v>
      </c>
      <c r="L19" s="35">
        <v>1060</v>
      </c>
      <c r="M19" s="35"/>
      <c r="N19" s="35"/>
      <c r="O19" s="35"/>
      <c r="P19" s="35"/>
      <c r="Q19" s="35"/>
      <c r="R19" s="35">
        <v>10507</v>
      </c>
      <c r="S19" s="35"/>
      <c r="T19" s="35">
        <v>2080</v>
      </c>
      <c r="U19" s="35"/>
      <c r="V19" s="35"/>
      <c r="W19" s="36"/>
      <c r="X19" s="35"/>
      <c r="Y19" s="35"/>
      <c r="Z19" s="35"/>
      <c r="AA19" s="8"/>
    </row>
    <row r="20" spans="2:27" s="7" customFormat="1" ht="15.75" hidden="1" customHeight="1" x14ac:dyDescent="0.25">
      <c r="B20" s="13" t="s">
        <v>254</v>
      </c>
      <c r="C20" s="33">
        <v>414019.08</v>
      </c>
      <c r="D20" s="35">
        <f t="shared" si="0"/>
        <v>318309.01</v>
      </c>
      <c r="E20" s="35"/>
      <c r="F20" s="35"/>
      <c r="G20" s="35"/>
      <c r="H20" s="35">
        <v>1044.3</v>
      </c>
      <c r="I20" s="35"/>
      <c r="J20" s="35"/>
      <c r="K20" s="35">
        <f>220.56+2469</f>
        <v>2689.56</v>
      </c>
      <c r="L20" s="35">
        <v>776</v>
      </c>
      <c r="M20" s="35"/>
      <c r="N20" s="35"/>
      <c r="O20" s="35"/>
      <c r="P20" s="35"/>
      <c r="Q20" s="35"/>
      <c r="R20" s="35">
        <v>35884.36</v>
      </c>
      <c r="S20" s="35"/>
      <c r="T20" s="35">
        <v>2359.6999999999998</v>
      </c>
      <c r="U20" s="35"/>
      <c r="V20" s="35">
        <v>1142.3399999999999</v>
      </c>
      <c r="W20" s="36">
        <v>9652</v>
      </c>
      <c r="X20" s="35"/>
      <c r="Y20" s="35">
        <v>264760.75</v>
      </c>
      <c r="Z20" s="35"/>
      <c r="AA20" s="8"/>
    </row>
    <row r="21" spans="2:27" s="7" customFormat="1" ht="15.75" hidden="1" customHeight="1" x14ac:dyDescent="0.25">
      <c r="B21" s="13" t="s">
        <v>255</v>
      </c>
      <c r="C21" s="33">
        <v>764761.44</v>
      </c>
      <c r="D21" s="35">
        <f t="shared" si="0"/>
        <v>4783.4799999999996</v>
      </c>
      <c r="E21" s="35"/>
      <c r="F21" s="35"/>
      <c r="G21" s="35"/>
      <c r="H21" s="35"/>
      <c r="I21" s="35"/>
      <c r="J21" s="35"/>
      <c r="K21" s="35">
        <v>1789.01</v>
      </c>
      <c r="L21" s="35">
        <f>376.48+850</f>
        <v>1226.48</v>
      </c>
      <c r="M21" s="35">
        <v>1767.99</v>
      </c>
      <c r="N21" s="35"/>
      <c r="O21" s="35"/>
      <c r="P21" s="35"/>
      <c r="Q21" s="35"/>
      <c r="R21" s="35"/>
      <c r="S21" s="35"/>
      <c r="T21" s="35"/>
      <c r="U21" s="35"/>
      <c r="V21" s="35"/>
      <c r="W21" s="36"/>
      <c r="X21" s="35"/>
      <c r="Y21" s="35"/>
      <c r="Z21" s="35"/>
      <c r="AA21" s="8"/>
    </row>
    <row r="22" spans="2:27" s="7" customFormat="1" ht="15.75" hidden="1" customHeight="1" x14ac:dyDescent="0.25">
      <c r="B22" s="13" t="s">
        <v>256</v>
      </c>
      <c r="C22" s="33">
        <v>143749.56</v>
      </c>
      <c r="D22" s="35">
        <f t="shared" si="0"/>
        <v>89532.409999999989</v>
      </c>
      <c r="E22" s="35"/>
      <c r="F22" s="35"/>
      <c r="G22" s="35"/>
      <c r="H22" s="35"/>
      <c r="I22" s="35"/>
      <c r="J22" s="35"/>
      <c r="K22" s="35"/>
      <c r="L22" s="35">
        <v>376.48</v>
      </c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6"/>
      <c r="X22" s="35"/>
      <c r="Y22" s="35">
        <v>89155.93</v>
      </c>
      <c r="Z22" s="35"/>
      <c r="AA22" s="8"/>
    </row>
    <row r="23" spans="2:27" s="7" customFormat="1" ht="15.75" hidden="1" customHeight="1" x14ac:dyDescent="0.25">
      <c r="B23" s="13" t="s">
        <v>257</v>
      </c>
      <c r="C23" s="33">
        <v>296036.40000000002</v>
      </c>
      <c r="D23" s="35">
        <f t="shared" si="0"/>
        <v>180981.68000000002</v>
      </c>
      <c r="E23" s="35"/>
      <c r="F23" s="35"/>
      <c r="G23" s="35"/>
      <c r="H23" s="35"/>
      <c r="I23" s="35"/>
      <c r="J23" s="35"/>
      <c r="K23" s="35">
        <f>633.7+2616.06</f>
        <v>3249.76</v>
      </c>
      <c r="L23" s="35">
        <v>376.48</v>
      </c>
      <c r="M23" s="35"/>
      <c r="N23" s="35"/>
      <c r="O23" s="35"/>
      <c r="P23" s="35"/>
      <c r="Q23" s="35"/>
      <c r="R23" s="35"/>
      <c r="S23" s="35"/>
      <c r="T23" s="35"/>
      <c r="U23" s="35">
        <v>702.74</v>
      </c>
      <c r="V23" s="35"/>
      <c r="W23" s="36"/>
      <c r="X23" s="35"/>
      <c r="Y23" s="35">
        <v>176652.7</v>
      </c>
      <c r="Z23" s="35"/>
      <c r="AA23" s="8"/>
    </row>
    <row r="24" spans="2:27" s="7" customFormat="1" ht="15.75" hidden="1" customHeight="1" x14ac:dyDescent="0.25">
      <c r="B24" s="13" t="s">
        <v>258</v>
      </c>
      <c r="C24" s="33">
        <v>548803.92000000004</v>
      </c>
      <c r="D24" s="35">
        <f t="shared" si="0"/>
        <v>56678.559999999998</v>
      </c>
      <c r="E24" s="35"/>
      <c r="F24" s="35"/>
      <c r="G24" s="35"/>
      <c r="H24" s="35"/>
      <c r="I24" s="35">
        <v>20520.46</v>
      </c>
      <c r="J24" s="35"/>
      <c r="K24" s="35">
        <v>6540.07</v>
      </c>
      <c r="L24" s="35">
        <v>592.87</v>
      </c>
      <c r="M24" s="35">
        <v>11938.19</v>
      </c>
      <c r="N24" s="35"/>
      <c r="O24" s="35"/>
      <c r="P24" s="35"/>
      <c r="Q24" s="35"/>
      <c r="R24" s="35">
        <f>9686.03+5502.41</f>
        <v>15188.44</v>
      </c>
      <c r="S24" s="35"/>
      <c r="T24" s="35">
        <v>1898.53</v>
      </c>
      <c r="U24" s="35"/>
      <c r="V24" s="35"/>
      <c r="W24" s="36"/>
      <c r="X24" s="35"/>
      <c r="Y24" s="35"/>
      <c r="Z24" s="35"/>
      <c r="AA24" s="8"/>
    </row>
    <row r="25" spans="2:27" s="7" customFormat="1" ht="15.75" hidden="1" customHeight="1" x14ac:dyDescent="0.25">
      <c r="B25" s="13" t="s">
        <v>259</v>
      </c>
      <c r="C25" s="33">
        <v>308196.12</v>
      </c>
      <c r="D25" s="35">
        <f t="shared" si="0"/>
        <v>205318.91</v>
      </c>
      <c r="E25" s="35"/>
      <c r="F25" s="35"/>
      <c r="G25" s="35"/>
      <c r="H25" s="35"/>
      <c r="I25" s="35"/>
      <c r="J25" s="35"/>
      <c r="K25" s="35"/>
      <c r="L25" s="35"/>
      <c r="M25" s="35">
        <v>3111.31</v>
      </c>
      <c r="N25" s="35"/>
      <c r="O25" s="35"/>
      <c r="P25" s="35"/>
      <c r="Q25" s="35"/>
      <c r="R25" s="35">
        <v>33378.6</v>
      </c>
      <c r="S25" s="35"/>
      <c r="T25" s="35">
        <v>3069.52</v>
      </c>
      <c r="U25" s="35"/>
      <c r="V25" s="35"/>
      <c r="W25" s="36">
        <v>5217</v>
      </c>
      <c r="X25" s="35"/>
      <c r="Y25" s="35">
        <v>150040.48000000001</v>
      </c>
      <c r="Z25" s="35">
        <v>10502</v>
      </c>
      <c r="AA25" s="8"/>
    </row>
    <row r="26" spans="2:27" s="7" customFormat="1" ht="15.75" hidden="1" customHeight="1" x14ac:dyDescent="0.25">
      <c r="B26" s="13" t="s">
        <v>260</v>
      </c>
      <c r="C26" s="33">
        <v>444716.16</v>
      </c>
      <c r="D26" s="35">
        <f t="shared" si="0"/>
        <v>1309</v>
      </c>
      <c r="E26" s="35"/>
      <c r="F26" s="35"/>
      <c r="G26" s="35"/>
      <c r="H26" s="35"/>
      <c r="I26" s="35"/>
      <c r="J26" s="35"/>
      <c r="K26" s="35">
        <v>273</v>
      </c>
      <c r="L26" s="35">
        <v>304</v>
      </c>
      <c r="M26" s="35"/>
      <c r="N26" s="35"/>
      <c r="O26" s="35"/>
      <c r="P26" s="35"/>
      <c r="Q26" s="35"/>
      <c r="R26" s="35"/>
      <c r="S26" s="35"/>
      <c r="T26" s="35"/>
      <c r="U26" s="35">
        <v>732</v>
      </c>
      <c r="V26" s="35"/>
      <c r="W26" s="36"/>
      <c r="X26" s="35"/>
      <c r="Y26" s="35"/>
      <c r="Z26" s="35"/>
      <c r="AA26" s="8"/>
    </row>
    <row r="27" spans="2:27" s="7" customFormat="1" ht="15.75" hidden="1" customHeight="1" x14ac:dyDescent="0.25">
      <c r="B27" s="13" t="s">
        <v>261</v>
      </c>
      <c r="C27" s="33">
        <v>279435.24</v>
      </c>
      <c r="D27" s="35">
        <f t="shared" si="0"/>
        <v>15700.57</v>
      </c>
      <c r="E27" s="35"/>
      <c r="F27" s="35"/>
      <c r="G27" s="35"/>
      <c r="H27" s="35"/>
      <c r="I27" s="35"/>
      <c r="J27" s="35"/>
      <c r="K27" s="35">
        <f>1354.38+5662.6</f>
        <v>7016.9800000000005</v>
      </c>
      <c r="L27" s="35"/>
      <c r="M27" s="35"/>
      <c r="N27" s="35"/>
      <c r="O27" s="35"/>
      <c r="P27" s="35">
        <v>8171</v>
      </c>
      <c r="Q27" s="35"/>
      <c r="R27" s="35"/>
      <c r="S27" s="35"/>
      <c r="T27" s="35"/>
      <c r="U27" s="35"/>
      <c r="V27" s="35"/>
      <c r="W27" s="36"/>
      <c r="X27" s="35"/>
      <c r="Y27" s="35"/>
      <c r="Z27" s="35">
        <v>512.59</v>
      </c>
      <c r="AA27" s="8"/>
    </row>
    <row r="28" spans="2:27" s="7" customFormat="1" ht="15.75" hidden="1" customHeight="1" x14ac:dyDescent="0.25">
      <c r="B28" s="13" t="s">
        <v>262</v>
      </c>
      <c r="C28" s="33" t="s">
        <v>402</v>
      </c>
      <c r="D28" s="35">
        <f t="shared" si="0"/>
        <v>11662</v>
      </c>
      <c r="E28" s="35">
        <v>9269</v>
      </c>
      <c r="F28" s="35"/>
      <c r="G28" s="35"/>
      <c r="H28" s="35"/>
      <c r="I28" s="35"/>
      <c r="J28" s="35"/>
      <c r="K28" s="35"/>
      <c r="L28" s="35"/>
      <c r="M28" s="35">
        <v>2393</v>
      </c>
      <c r="N28" s="35"/>
      <c r="O28" s="35"/>
      <c r="P28" s="35"/>
      <c r="Q28" s="35"/>
      <c r="R28" s="35"/>
      <c r="S28" s="35"/>
      <c r="T28" s="35"/>
      <c r="U28" s="35"/>
      <c r="V28" s="35"/>
      <c r="W28" s="36"/>
      <c r="X28" s="35"/>
      <c r="Y28" s="35"/>
      <c r="Z28" s="35"/>
      <c r="AA28" s="8"/>
    </row>
    <row r="29" spans="2:27" s="7" customFormat="1" ht="15.75" hidden="1" customHeight="1" x14ac:dyDescent="0.25">
      <c r="B29" s="13" t="s">
        <v>393</v>
      </c>
      <c r="C29" s="33">
        <v>74981.279999999999</v>
      </c>
      <c r="D29" s="35">
        <f t="shared" si="0"/>
        <v>2016.14</v>
      </c>
      <c r="E29" s="35"/>
      <c r="F29" s="35"/>
      <c r="G29" s="35"/>
      <c r="H29" s="35"/>
      <c r="I29" s="35"/>
      <c r="J29" s="35"/>
      <c r="K29" s="35">
        <v>2016.14</v>
      </c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6"/>
      <c r="X29" s="35"/>
      <c r="Y29" s="35"/>
      <c r="Z29" s="35"/>
      <c r="AA29" s="8"/>
    </row>
    <row r="30" spans="2:27" s="7" customFormat="1" ht="15.75" hidden="1" customHeight="1" x14ac:dyDescent="0.25">
      <c r="B30" s="13" t="s">
        <v>263</v>
      </c>
      <c r="C30" s="33">
        <v>90928.56</v>
      </c>
      <c r="D30" s="35">
        <f t="shared" si="0"/>
        <v>115976.57</v>
      </c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>
        <v>54854.45</v>
      </c>
      <c r="S30" s="35"/>
      <c r="T30" s="35">
        <v>1192.3499999999999</v>
      </c>
      <c r="U30" s="35">
        <v>452.58</v>
      </c>
      <c r="V30" s="35"/>
      <c r="W30" s="36">
        <v>869</v>
      </c>
      <c r="X30" s="35"/>
      <c r="Y30" s="35">
        <v>58608.19</v>
      </c>
      <c r="Z30" s="35"/>
      <c r="AA30" s="8"/>
    </row>
    <row r="31" spans="2:27" s="7" customFormat="1" ht="15.75" hidden="1" customHeight="1" x14ac:dyDescent="0.25">
      <c r="B31" s="13" t="s">
        <v>264</v>
      </c>
      <c r="C31" s="33">
        <v>95731.68</v>
      </c>
      <c r="D31" s="35">
        <f t="shared" si="0"/>
        <v>36870.54</v>
      </c>
      <c r="E31" s="35">
        <v>4963.08</v>
      </c>
      <c r="F31" s="35"/>
      <c r="G31" s="35"/>
      <c r="H31" s="35"/>
      <c r="I31" s="35"/>
      <c r="J31" s="35"/>
      <c r="K31" s="35">
        <f>2795.24+4626.8</f>
        <v>7422.04</v>
      </c>
      <c r="L31" s="35">
        <v>1778.61</v>
      </c>
      <c r="M31" s="35">
        <v>12610.7</v>
      </c>
      <c r="N31" s="35"/>
      <c r="O31" s="35"/>
      <c r="P31" s="35"/>
      <c r="Q31" s="35"/>
      <c r="R31" s="35"/>
      <c r="S31" s="35"/>
      <c r="T31" s="35">
        <v>1919.54</v>
      </c>
      <c r="U31" s="35"/>
      <c r="V31" s="35"/>
      <c r="W31" s="36">
        <v>8176.57</v>
      </c>
      <c r="X31" s="35"/>
      <c r="Y31" s="35"/>
      <c r="Z31" s="35"/>
      <c r="AA31" s="8"/>
    </row>
    <row r="32" spans="2:27" s="7" customFormat="1" ht="15.75" hidden="1" customHeight="1" x14ac:dyDescent="0.25">
      <c r="B32" s="13" t="s">
        <v>265</v>
      </c>
      <c r="C32" s="33">
        <v>39153.599999999999</v>
      </c>
      <c r="D32" s="35">
        <f t="shared" si="0"/>
        <v>72736.960000000006</v>
      </c>
      <c r="E32" s="35"/>
      <c r="F32" s="35"/>
      <c r="G32" s="35"/>
      <c r="H32" s="35"/>
      <c r="I32" s="35"/>
      <c r="J32" s="35"/>
      <c r="K32" s="35">
        <v>2129</v>
      </c>
      <c r="L32" s="35"/>
      <c r="M32" s="35">
        <v>1900</v>
      </c>
      <c r="N32" s="35"/>
      <c r="O32" s="35">
        <v>6414.77</v>
      </c>
      <c r="P32" s="35"/>
      <c r="Q32" s="35"/>
      <c r="R32" s="35"/>
      <c r="S32" s="35"/>
      <c r="T32" s="35"/>
      <c r="U32" s="35"/>
      <c r="V32" s="35"/>
      <c r="W32" s="36">
        <v>869</v>
      </c>
      <c r="X32" s="35"/>
      <c r="Y32" s="35">
        <v>61424.19</v>
      </c>
      <c r="Z32" s="35"/>
      <c r="AA32" s="8"/>
    </row>
    <row r="33" spans="2:27" s="7" customFormat="1" ht="15.75" hidden="1" customHeight="1" x14ac:dyDescent="0.25">
      <c r="B33" s="13" t="s">
        <v>266</v>
      </c>
      <c r="C33" s="33">
        <v>393681.84</v>
      </c>
      <c r="D33" s="35">
        <f t="shared" si="0"/>
        <v>250600.09</v>
      </c>
      <c r="E33" s="35"/>
      <c r="F33" s="35"/>
      <c r="G33" s="35"/>
      <c r="H33" s="35">
        <v>7865</v>
      </c>
      <c r="I33" s="35"/>
      <c r="J33" s="35"/>
      <c r="K33" s="35">
        <f>647.67+6998.8</f>
        <v>7646.47</v>
      </c>
      <c r="L33" s="35"/>
      <c r="M33" s="35"/>
      <c r="N33" s="35"/>
      <c r="O33" s="35"/>
      <c r="P33" s="35"/>
      <c r="Q33" s="35"/>
      <c r="R33" s="35">
        <v>17984.2</v>
      </c>
      <c r="S33" s="35"/>
      <c r="T33" s="35">
        <v>354.74</v>
      </c>
      <c r="U33" s="35"/>
      <c r="V33" s="35"/>
      <c r="W33" s="36">
        <v>5549</v>
      </c>
      <c r="X33" s="35"/>
      <c r="Y33" s="35">
        <v>211200.68</v>
      </c>
      <c r="Z33" s="35"/>
      <c r="AA33" s="8"/>
    </row>
    <row r="34" spans="2:27" s="7" customFormat="1" ht="15.75" hidden="1" customHeight="1" x14ac:dyDescent="0.25">
      <c r="B34" s="13" t="s">
        <v>267</v>
      </c>
      <c r="C34" s="33">
        <v>246636.96</v>
      </c>
      <c r="D34" s="35">
        <f t="shared" si="0"/>
        <v>53539.928999999996</v>
      </c>
      <c r="E34" s="35">
        <v>9579.8889999999992</v>
      </c>
      <c r="F34" s="35"/>
      <c r="G34" s="35"/>
      <c r="H34" s="35"/>
      <c r="I34" s="35"/>
      <c r="J34" s="35"/>
      <c r="K34" s="35">
        <v>1111.0999999999999</v>
      </c>
      <c r="L34" s="35"/>
      <c r="M34" s="35">
        <v>18705</v>
      </c>
      <c r="N34" s="35"/>
      <c r="O34" s="35"/>
      <c r="P34" s="35"/>
      <c r="Q34" s="35"/>
      <c r="R34" s="35">
        <v>4709.84</v>
      </c>
      <c r="S34" s="35">
        <v>6953.99</v>
      </c>
      <c r="T34" s="35">
        <v>731.01</v>
      </c>
      <c r="U34" s="35"/>
      <c r="V34" s="35">
        <v>11749.1</v>
      </c>
      <c r="W34" s="36"/>
      <c r="X34" s="35"/>
      <c r="Y34" s="35"/>
      <c r="Z34" s="35"/>
      <c r="AA34" s="8"/>
    </row>
    <row r="35" spans="2:27" s="7" customFormat="1" ht="15.75" hidden="1" customHeight="1" x14ac:dyDescent="0.25">
      <c r="B35" s="13" t="s">
        <v>268</v>
      </c>
      <c r="C35" s="33">
        <v>281941.8</v>
      </c>
      <c r="D35" s="37">
        <f>E35+F35+G35+H35+I35+J35+K35+L35+M35+N35+O35+P35+Q35+R35+S35+T35+U35+V35+W35+X35+Y35+Z35</f>
        <v>67727.399999999994</v>
      </c>
      <c r="E35" s="35"/>
      <c r="F35" s="35"/>
      <c r="G35" s="35"/>
      <c r="H35" s="35"/>
      <c r="I35" s="35"/>
      <c r="J35" s="35"/>
      <c r="K35" s="35">
        <v>4283.3999999999996</v>
      </c>
      <c r="L35" s="35"/>
      <c r="M35" s="35">
        <v>5330.06</v>
      </c>
      <c r="N35" s="35"/>
      <c r="O35" s="37">
        <v>2620.7800000000002</v>
      </c>
      <c r="P35" s="35"/>
      <c r="Q35" s="35"/>
      <c r="R35" s="35">
        <v>16789.099999999999</v>
      </c>
      <c r="S35" s="35"/>
      <c r="T35" s="35">
        <v>4840.3599999999997</v>
      </c>
      <c r="U35" s="35"/>
      <c r="V35" s="35"/>
      <c r="W35" s="36"/>
      <c r="X35" s="35"/>
      <c r="Y35" s="35"/>
      <c r="Z35" s="35">
        <v>33863.699999999997</v>
      </c>
      <c r="AA35" s="8"/>
    </row>
    <row r="36" spans="2:27" s="7" customFormat="1" ht="15.75" hidden="1" customHeight="1" x14ac:dyDescent="0.25">
      <c r="B36" s="13" t="s">
        <v>269</v>
      </c>
      <c r="C36" s="33">
        <v>185412.84</v>
      </c>
      <c r="D36" s="35">
        <f t="shared" si="0"/>
        <v>9956.9999999999982</v>
      </c>
      <c r="E36" s="35"/>
      <c r="F36" s="35"/>
      <c r="G36" s="35"/>
      <c r="H36" s="35"/>
      <c r="I36" s="35"/>
      <c r="J36" s="35"/>
      <c r="K36" s="35"/>
      <c r="L36" s="35">
        <v>933</v>
      </c>
      <c r="M36" s="35"/>
      <c r="N36" s="35"/>
      <c r="O36" s="35"/>
      <c r="P36" s="35"/>
      <c r="Q36" s="35"/>
      <c r="R36" s="35">
        <v>4207.78</v>
      </c>
      <c r="S36" s="35">
        <v>3551</v>
      </c>
      <c r="T36" s="35">
        <v>1037.22</v>
      </c>
      <c r="U36" s="35">
        <v>228</v>
      </c>
      <c r="V36" s="35"/>
      <c r="W36" s="36"/>
      <c r="X36" s="35"/>
      <c r="Y36" s="35"/>
      <c r="Z36" s="35"/>
      <c r="AA36" s="8"/>
    </row>
    <row r="37" spans="2:27" s="7" customFormat="1" ht="15.75" hidden="1" customHeight="1" x14ac:dyDescent="0.25">
      <c r="B37" s="13" t="s">
        <v>270</v>
      </c>
      <c r="C37" s="33">
        <v>214127.64</v>
      </c>
      <c r="D37" s="35">
        <f t="shared" si="0"/>
        <v>10722.57</v>
      </c>
      <c r="E37" s="35"/>
      <c r="F37" s="35"/>
      <c r="G37" s="35"/>
      <c r="H37" s="35"/>
      <c r="I37" s="35"/>
      <c r="J37" s="35"/>
      <c r="K37" s="35">
        <v>4061.47</v>
      </c>
      <c r="L37" s="35"/>
      <c r="M37" s="35"/>
      <c r="N37" s="35"/>
      <c r="O37" s="35"/>
      <c r="P37" s="35"/>
      <c r="Q37" s="35"/>
      <c r="R37" s="35">
        <v>974.68</v>
      </c>
      <c r="S37" s="35"/>
      <c r="T37" s="35"/>
      <c r="U37" s="35">
        <v>5686.42</v>
      </c>
      <c r="V37" s="35"/>
      <c r="W37" s="36"/>
      <c r="X37" s="35"/>
      <c r="Y37" s="35"/>
      <c r="Z37" s="35"/>
      <c r="AA37" s="8"/>
    </row>
    <row r="38" spans="2:27" s="7" customFormat="1" ht="15.75" hidden="1" customHeight="1" x14ac:dyDescent="0.25">
      <c r="B38" s="13" t="s">
        <v>271</v>
      </c>
      <c r="C38" s="33">
        <v>1229994.1200000001</v>
      </c>
      <c r="D38" s="35">
        <f t="shared" si="0"/>
        <v>102592.15000000001</v>
      </c>
      <c r="E38" s="35">
        <v>13547.58</v>
      </c>
      <c r="F38" s="35"/>
      <c r="G38" s="35"/>
      <c r="H38" s="35"/>
      <c r="I38" s="35"/>
      <c r="J38" s="35"/>
      <c r="K38" s="35">
        <v>15970.27</v>
      </c>
      <c r="L38" s="35">
        <v>304</v>
      </c>
      <c r="M38" s="35"/>
      <c r="N38" s="35"/>
      <c r="O38" s="35"/>
      <c r="P38" s="35">
        <v>16161.28</v>
      </c>
      <c r="Q38" s="35"/>
      <c r="R38" s="35">
        <f>18388.08+20965.8</f>
        <v>39353.880000000005</v>
      </c>
      <c r="S38" s="35"/>
      <c r="T38" s="35">
        <v>1037.22</v>
      </c>
      <c r="U38" s="35"/>
      <c r="V38" s="35"/>
      <c r="W38" s="36">
        <v>16217.92</v>
      </c>
      <c r="X38" s="35"/>
      <c r="Y38" s="35"/>
      <c r="Z38" s="35"/>
      <c r="AA38" s="8"/>
    </row>
    <row r="39" spans="2:27" s="7" customFormat="1" ht="15.75" hidden="1" customHeight="1" x14ac:dyDescent="0.25">
      <c r="B39" s="13" t="s">
        <v>272</v>
      </c>
      <c r="C39" s="33">
        <v>146181.48000000001</v>
      </c>
      <c r="D39" s="35">
        <f t="shared" si="0"/>
        <v>19508.79</v>
      </c>
      <c r="E39" s="35"/>
      <c r="F39" s="35"/>
      <c r="G39" s="35"/>
      <c r="H39" s="35"/>
      <c r="I39" s="35"/>
      <c r="J39" s="35"/>
      <c r="K39" s="35">
        <f>349.28+7926.2</f>
        <v>8275.48</v>
      </c>
      <c r="L39" s="35"/>
      <c r="M39" s="35">
        <v>1197</v>
      </c>
      <c r="N39" s="35"/>
      <c r="O39" s="35">
        <v>7703.31</v>
      </c>
      <c r="P39" s="35"/>
      <c r="Q39" s="35"/>
      <c r="R39" s="35"/>
      <c r="S39" s="35"/>
      <c r="T39" s="35"/>
      <c r="U39" s="35">
        <v>1464</v>
      </c>
      <c r="V39" s="35"/>
      <c r="W39" s="36">
        <v>869</v>
      </c>
      <c r="X39" s="35"/>
      <c r="Y39" s="35"/>
      <c r="Z39" s="35"/>
      <c r="AA39" s="8"/>
    </row>
    <row r="40" spans="2:27" s="7" customFormat="1" ht="15.75" hidden="1" customHeight="1" x14ac:dyDescent="0.25">
      <c r="B40" s="13" t="s">
        <v>273</v>
      </c>
      <c r="C40" s="33">
        <v>56109.24</v>
      </c>
      <c r="D40" s="35">
        <f t="shared" si="0"/>
        <v>114501.04000000001</v>
      </c>
      <c r="E40" s="35"/>
      <c r="F40" s="35"/>
      <c r="G40" s="35"/>
      <c r="H40" s="35"/>
      <c r="I40" s="35">
        <v>21481.34</v>
      </c>
      <c r="J40" s="35"/>
      <c r="K40" s="35">
        <f>309.01+424.8</f>
        <v>733.81</v>
      </c>
      <c r="L40" s="35"/>
      <c r="M40" s="35">
        <v>37613.1</v>
      </c>
      <c r="N40" s="35"/>
      <c r="O40" s="35">
        <v>3529.98</v>
      </c>
      <c r="P40" s="35"/>
      <c r="Q40" s="35"/>
      <c r="R40" s="35">
        <v>4772.7</v>
      </c>
      <c r="S40" s="35">
        <v>4353.5</v>
      </c>
      <c r="T40" s="35">
        <v>691.48</v>
      </c>
      <c r="U40" s="35"/>
      <c r="V40" s="35"/>
      <c r="W40" s="36">
        <v>2429</v>
      </c>
      <c r="X40" s="35"/>
      <c r="Y40" s="35">
        <v>38896.129999999997</v>
      </c>
      <c r="Z40" s="35"/>
      <c r="AA40" s="8"/>
    </row>
    <row r="41" spans="2:27" s="7" customFormat="1" ht="15.75" hidden="1" customHeight="1" x14ac:dyDescent="0.25">
      <c r="B41" s="13" t="s">
        <v>274</v>
      </c>
      <c r="C41" s="33">
        <v>29043.599999999999</v>
      </c>
      <c r="D41" s="35">
        <f t="shared" si="0"/>
        <v>30791.08</v>
      </c>
      <c r="E41" s="35"/>
      <c r="F41" s="35"/>
      <c r="G41" s="35"/>
      <c r="H41" s="35"/>
      <c r="I41" s="35"/>
      <c r="J41" s="35"/>
      <c r="K41" s="35">
        <v>4391</v>
      </c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6"/>
      <c r="X41" s="35"/>
      <c r="Y41" s="35">
        <v>26400.080000000002</v>
      </c>
      <c r="Z41" s="35"/>
      <c r="AA41" s="8"/>
    </row>
    <row r="42" spans="2:27" s="7" customFormat="1" ht="15.75" hidden="1" customHeight="1" x14ac:dyDescent="0.25">
      <c r="B42" s="13" t="s">
        <v>275</v>
      </c>
      <c r="C42" s="33">
        <v>135216.95999999999</v>
      </c>
      <c r="D42" s="35">
        <f t="shared" si="0"/>
        <v>265022.45</v>
      </c>
      <c r="E42" s="35"/>
      <c r="F42" s="35"/>
      <c r="G42" s="35"/>
      <c r="H42" s="35">
        <f>9554.81+213.69</f>
        <v>9768.5</v>
      </c>
      <c r="I42" s="35">
        <v>67219</v>
      </c>
      <c r="J42" s="35"/>
      <c r="K42" s="35"/>
      <c r="L42" s="35">
        <f>3264.92+23787.9</f>
        <v>27052.82</v>
      </c>
      <c r="M42" s="35">
        <v>37915.53</v>
      </c>
      <c r="N42" s="35"/>
      <c r="O42" s="35"/>
      <c r="P42" s="35"/>
      <c r="Q42" s="35"/>
      <c r="R42" s="35">
        <v>7253.84</v>
      </c>
      <c r="S42" s="35"/>
      <c r="T42" s="35"/>
      <c r="U42" s="35">
        <v>2655.38</v>
      </c>
      <c r="V42" s="35"/>
      <c r="W42" s="36">
        <v>869</v>
      </c>
      <c r="X42" s="35"/>
      <c r="Y42" s="35">
        <v>112288.38</v>
      </c>
      <c r="Z42" s="35"/>
      <c r="AA42" s="8"/>
    </row>
    <row r="43" spans="2:27" s="7" customFormat="1" ht="15.75" hidden="1" customHeight="1" x14ac:dyDescent="0.25">
      <c r="B43" s="13" t="s">
        <v>276</v>
      </c>
      <c r="C43" s="33">
        <v>112103.52</v>
      </c>
      <c r="D43" s="35">
        <f t="shared" si="0"/>
        <v>76822.23</v>
      </c>
      <c r="E43" s="35"/>
      <c r="F43" s="35"/>
      <c r="G43" s="35"/>
      <c r="H43" s="35"/>
      <c r="I43" s="35"/>
      <c r="J43" s="35"/>
      <c r="K43" s="35">
        <v>5201</v>
      </c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6">
        <v>869</v>
      </c>
      <c r="X43" s="35"/>
      <c r="Y43" s="35">
        <v>70752.23</v>
      </c>
      <c r="Z43" s="35"/>
      <c r="AA43" s="8"/>
    </row>
    <row r="44" spans="2:27" s="7" customFormat="1" ht="15.75" hidden="1" customHeight="1" x14ac:dyDescent="0.25">
      <c r="B44" s="13" t="s">
        <v>277</v>
      </c>
      <c r="C44" s="33">
        <v>71503.08</v>
      </c>
      <c r="D44" s="35">
        <f t="shared" si="0"/>
        <v>39527.11</v>
      </c>
      <c r="E44" s="35"/>
      <c r="F44" s="35"/>
      <c r="G44" s="35"/>
      <c r="H44" s="35"/>
      <c r="I44" s="35"/>
      <c r="J44" s="35"/>
      <c r="K44" s="35">
        <v>994</v>
      </c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6">
        <v>869</v>
      </c>
      <c r="X44" s="35"/>
      <c r="Y44" s="35">
        <v>37664.11</v>
      </c>
      <c r="Z44" s="35"/>
      <c r="AA44" s="8"/>
    </row>
    <row r="45" spans="2:27" s="7" customFormat="1" ht="15.75" hidden="1" customHeight="1" x14ac:dyDescent="0.25">
      <c r="B45" s="13" t="s">
        <v>394</v>
      </c>
      <c r="C45" s="33">
        <v>61282.44</v>
      </c>
      <c r="D45" s="35">
        <f t="shared" si="0"/>
        <v>58845.17</v>
      </c>
      <c r="E45" s="35"/>
      <c r="F45" s="35"/>
      <c r="G45" s="35"/>
      <c r="H45" s="35"/>
      <c r="I45" s="35"/>
      <c r="J45" s="35"/>
      <c r="K45" s="35">
        <f>4208</f>
        <v>4208</v>
      </c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6">
        <v>869</v>
      </c>
      <c r="X45" s="35"/>
      <c r="Y45" s="35">
        <v>53768.17</v>
      </c>
      <c r="Z45" s="35"/>
      <c r="AA45" s="8"/>
    </row>
    <row r="46" spans="2:27" s="7" customFormat="1" ht="15.75" hidden="1" customHeight="1" x14ac:dyDescent="0.25">
      <c r="B46" s="13" t="s">
        <v>325</v>
      </c>
      <c r="C46" s="33">
        <v>19336.560000000001</v>
      </c>
      <c r="D46" s="35">
        <f t="shared" si="0"/>
        <v>45961.81</v>
      </c>
      <c r="E46" s="35"/>
      <c r="F46" s="35"/>
      <c r="G46" s="35"/>
      <c r="H46" s="35"/>
      <c r="I46" s="35"/>
      <c r="J46" s="35"/>
      <c r="K46" s="35">
        <f>655.24+2973.6</f>
        <v>3628.84</v>
      </c>
      <c r="L46" s="35">
        <v>367.48</v>
      </c>
      <c r="M46" s="35">
        <v>11696.4</v>
      </c>
      <c r="N46" s="35"/>
      <c r="O46" s="35"/>
      <c r="P46" s="35"/>
      <c r="Q46" s="35"/>
      <c r="R46" s="35"/>
      <c r="S46" s="35"/>
      <c r="T46" s="35"/>
      <c r="U46" s="35"/>
      <c r="V46" s="35"/>
      <c r="W46" s="36">
        <v>2021</v>
      </c>
      <c r="X46" s="35"/>
      <c r="Y46" s="35">
        <v>28248.09</v>
      </c>
      <c r="Z46" s="35"/>
      <c r="AA46" s="8"/>
    </row>
    <row r="47" spans="2:27" s="7" customFormat="1" ht="15.75" hidden="1" customHeight="1" x14ac:dyDescent="0.25">
      <c r="B47" s="13" t="s">
        <v>326</v>
      </c>
      <c r="C47" s="33">
        <v>142794.35999999999</v>
      </c>
      <c r="D47" s="35">
        <f t="shared" si="0"/>
        <v>15788.02</v>
      </c>
      <c r="E47" s="35"/>
      <c r="F47" s="35"/>
      <c r="G47" s="35"/>
      <c r="H47" s="35"/>
      <c r="I47" s="35"/>
      <c r="J47" s="35"/>
      <c r="K47" s="35">
        <v>7587.08</v>
      </c>
      <c r="L47" s="35"/>
      <c r="M47" s="35"/>
      <c r="N47" s="35"/>
      <c r="O47" s="35">
        <v>4781</v>
      </c>
      <c r="P47" s="35"/>
      <c r="Q47" s="35"/>
      <c r="R47" s="35">
        <v>990.94</v>
      </c>
      <c r="S47" s="35"/>
      <c r="T47" s="35"/>
      <c r="U47" s="35"/>
      <c r="V47" s="35">
        <v>1560</v>
      </c>
      <c r="W47" s="36">
        <v>869</v>
      </c>
      <c r="X47" s="35"/>
      <c r="Y47" s="35"/>
      <c r="Z47" s="35"/>
      <c r="AA47" s="8"/>
    </row>
    <row r="48" spans="2:27" s="7" customFormat="1" ht="15.75" hidden="1" customHeight="1" x14ac:dyDescent="0.25">
      <c r="B48" s="13" t="s">
        <v>327</v>
      </c>
      <c r="C48" s="33">
        <v>225481.2</v>
      </c>
      <c r="D48" s="35">
        <f t="shared" si="0"/>
        <v>5801</v>
      </c>
      <c r="E48" s="35"/>
      <c r="F48" s="35"/>
      <c r="G48" s="35"/>
      <c r="H48" s="35"/>
      <c r="I48" s="35"/>
      <c r="J48" s="35"/>
      <c r="K48" s="35">
        <v>994</v>
      </c>
      <c r="L48" s="35"/>
      <c r="M48" s="35"/>
      <c r="N48" s="35"/>
      <c r="O48" s="35"/>
      <c r="P48" s="35"/>
      <c r="Q48" s="35"/>
      <c r="R48" s="35">
        <v>3201</v>
      </c>
      <c r="S48" s="35"/>
      <c r="T48" s="35"/>
      <c r="U48" s="35"/>
      <c r="V48" s="35"/>
      <c r="W48" s="36">
        <v>1606</v>
      </c>
      <c r="X48" s="35"/>
      <c r="Y48" s="35"/>
      <c r="Z48" s="35"/>
      <c r="AA48" s="8"/>
    </row>
    <row r="49" spans="2:27" s="20" customFormat="1" ht="15.75" hidden="1" customHeight="1" x14ac:dyDescent="0.25">
      <c r="B49" s="18" t="s">
        <v>375</v>
      </c>
      <c r="C49" s="34">
        <v>154673.04</v>
      </c>
      <c r="D49" s="35">
        <f t="shared" si="0"/>
        <v>23963.919999999998</v>
      </c>
      <c r="E49" s="38"/>
      <c r="F49" s="38"/>
      <c r="G49" s="38"/>
      <c r="H49" s="38">
        <v>9554.81</v>
      </c>
      <c r="I49" s="38"/>
      <c r="J49" s="38"/>
      <c r="K49" s="38">
        <f>367.11+977</f>
        <v>1344.1100000000001</v>
      </c>
      <c r="L49" s="38"/>
      <c r="M49" s="38"/>
      <c r="N49" s="38"/>
      <c r="O49" s="38"/>
      <c r="P49" s="38">
        <v>11665</v>
      </c>
      <c r="Q49" s="38"/>
      <c r="R49" s="38"/>
      <c r="S49" s="38"/>
      <c r="T49" s="38"/>
      <c r="U49" s="38"/>
      <c r="V49" s="38"/>
      <c r="W49" s="39">
        <v>1400</v>
      </c>
      <c r="X49" s="38"/>
      <c r="Y49" s="38"/>
      <c r="Z49" s="38"/>
      <c r="AA49" s="19"/>
    </row>
    <row r="50" spans="2:27" s="7" customFormat="1" ht="15.75" hidden="1" customHeight="1" x14ac:dyDescent="0.25">
      <c r="B50" s="13" t="s">
        <v>376</v>
      </c>
      <c r="C50" s="33">
        <v>63297.96</v>
      </c>
      <c r="D50" s="35">
        <f t="shared" si="0"/>
        <v>13232.54</v>
      </c>
      <c r="E50" s="35"/>
      <c r="F50" s="35"/>
      <c r="G50" s="35"/>
      <c r="H50" s="35"/>
      <c r="I50" s="35"/>
      <c r="J50" s="35"/>
      <c r="K50" s="35">
        <v>2520</v>
      </c>
      <c r="L50" s="35">
        <v>2067</v>
      </c>
      <c r="M50" s="35"/>
      <c r="N50" s="35"/>
      <c r="O50" s="35"/>
      <c r="P50" s="35"/>
      <c r="Q50" s="35"/>
      <c r="R50" s="35">
        <f>6170.04+1606</f>
        <v>7776.04</v>
      </c>
      <c r="S50" s="35"/>
      <c r="T50" s="35"/>
      <c r="U50" s="35"/>
      <c r="V50" s="35"/>
      <c r="W50" s="36">
        <v>869.5</v>
      </c>
      <c r="X50" s="35"/>
      <c r="Y50" s="35"/>
      <c r="Z50" s="35"/>
      <c r="AA50" s="8"/>
    </row>
    <row r="51" spans="2:27" s="7" customFormat="1" ht="15.75" hidden="1" customHeight="1" x14ac:dyDescent="0.25">
      <c r="B51" s="13" t="s">
        <v>377</v>
      </c>
      <c r="C51" s="33">
        <v>109295.52</v>
      </c>
      <c r="D51" s="35">
        <f t="shared" si="0"/>
        <v>24761.7</v>
      </c>
      <c r="E51" s="35"/>
      <c r="F51" s="35"/>
      <c r="G51" s="35"/>
      <c r="H51" s="35"/>
      <c r="I51" s="35"/>
      <c r="J51" s="35"/>
      <c r="K51" s="35">
        <v>1135</v>
      </c>
      <c r="L51" s="35"/>
      <c r="M51" s="35"/>
      <c r="N51" s="35"/>
      <c r="O51" s="35"/>
      <c r="P51" s="35"/>
      <c r="Q51" s="35"/>
      <c r="R51" s="35"/>
      <c r="S51" s="35"/>
      <c r="T51" s="35">
        <v>4189.63</v>
      </c>
      <c r="U51" s="35"/>
      <c r="V51" s="35"/>
      <c r="W51" s="36">
        <v>869</v>
      </c>
      <c r="X51" s="35"/>
      <c r="Y51" s="35">
        <v>18568.07</v>
      </c>
      <c r="Z51" s="35"/>
      <c r="AA51" s="8"/>
    </row>
    <row r="52" spans="2:27" s="7" customFormat="1" ht="15.75" hidden="1" customHeight="1" x14ac:dyDescent="0.25">
      <c r="B52" s="13" t="s">
        <v>378</v>
      </c>
      <c r="C52" s="33">
        <v>184829.88</v>
      </c>
      <c r="D52" s="35">
        <f t="shared" si="0"/>
        <v>25674.489999999998</v>
      </c>
      <c r="E52" s="35"/>
      <c r="F52" s="35"/>
      <c r="G52" s="35"/>
      <c r="H52" s="35"/>
      <c r="I52" s="35"/>
      <c r="J52" s="35"/>
      <c r="K52" s="35">
        <v>10448.370000000001</v>
      </c>
      <c r="L52" s="35"/>
      <c r="M52" s="35">
        <v>4189.63</v>
      </c>
      <c r="N52" s="35"/>
      <c r="O52" s="35">
        <v>1402.49</v>
      </c>
      <c r="P52" s="35"/>
      <c r="Q52" s="35"/>
      <c r="R52" s="35">
        <v>6220</v>
      </c>
      <c r="S52" s="35"/>
      <c r="T52" s="35"/>
      <c r="U52" s="35"/>
      <c r="V52" s="35"/>
      <c r="W52" s="36">
        <v>3414</v>
      </c>
      <c r="X52" s="35"/>
      <c r="Y52" s="35"/>
      <c r="Z52" s="35"/>
      <c r="AA52" s="8"/>
    </row>
    <row r="53" spans="2:27" s="7" customFormat="1" ht="15.75" hidden="1" customHeight="1" x14ac:dyDescent="0.25">
      <c r="B53" s="13" t="s">
        <v>379</v>
      </c>
      <c r="C53" s="33">
        <v>253335</v>
      </c>
      <c r="D53" s="35">
        <f t="shared" si="0"/>
        <v>75434.941999999995</v>
      </c>
      <c r="E53" s="35"/>
      <c r="F53" s="35"/>
      <c r="G53" s="35"/>
      <c r="H53" s="35"/>
      <c r="I53" s="35"/>
      <c r="J53" s="35"/>
      <c r="K53" s="35"/>
      <c r="L53" s="35">
        <v>24847.599999999999</v>
      </c>
      <c r="M53" s="35">
        <v>9681.0300000000007</v>
      </c>
      <c r="N53" s="35"/>
      <c r="O53" s="35">
        <v>1558.3119999999999</v>
      </c>
      <c r="P53" s="35"/>
      <c r="Q53" s="35"/>
      <c r="R53" s="35">
        <v>38479</v>
      </c>
      <c r="S53" s="35"/>
      <c r="T53" s="35"/>
      <c r="U53" s="35"/>
      <c r="V53" s="35"/>
      <c r="W53" s="36">
        <v>869</v>
      </c>
      <c r="X53" s="35"/>
      <c r="Y53" s="35"/>
      <c r="Z53" s="35"/>
      <c r="AA53" s="8"/>
    </row>
    <row r="54" spans="2:27" s="7" customFormat="1" ht="15.75" hidden="1" customHeight="1" x14ac:dyDescent="0.25">
      <c r="B54" s="13" t="s">
        <v>380</v>
      </c>
      <c r="C54" s="33">
        <v>85328.639999999999</v>
      </c>
      <c r="D54" s="35">
        <f t="shared" si="0"/>
        <v>191082.764</v>
      </c>
      <c r="E54" s="35"/>
      <c r="F54" s="35"/>
      <c r="G54" s="35"/>
      <c r="H54" s="35"/>
      <c r="I54" s="35"/>
      <c r="J54" s="35"/>
      <c r="K54" s="35">
        <v>4582</v>
      </c>
      <c r="L54" s="35"/>
      <c r="M54" s="35">
        <f>3767.69+22684.4</f>
        <v>26452.09</v>
      </c>
      <c r="N54" s="35"/>
      <c r="O54" s="35">
        <v>779.154</v>
      </c>
      <c r="P54" s="35"/>
      <c r="Q54" s="35"/>
      <c r="R54" s="35"/>
      <c r="S54" s="35"/>
      <c r="T54" s="35"/>
      <c r="U54" s="35"/>
      <c r="V54" s="35"/>
      <c r="W54" s="36">
        <v>869</v>
      </c>
      <c r="X54" s="35"/>
      <c r="Y54" s="35">
        <v>158400.51999999999</v>
      </c>
      <c r="Z54" s="35"/>
      <c r="AA54" s="8"/>
    </row>
    <row r="55" spans="2:27" s="7" customFormat="1" ht="15.75" customHeight="1" x14ac:dyDescent="0.35">
      <c r="B55" s="13" t="s">
        <v>381</v>
      </c>
      <c r="C55" s="33">
        <v>552041.88</v>
      </c>
      <c r="D55" s="35">
        <f t="shared" si="0"/>
        <v>561054.30999999994</v>
      </c>
      <c r="E55" s="35"/>
      <c r="F55" s="35"/>
      <c r="G55" s="35"/>
      <c r="H55" s="35"/>
      <c r="I55" s="35">
        <v>121079</v>
      </c>
      <c r="J55" s="35"/>
      <c r="K55" s="35">
        <f>7519.09+16314</f>
        <v>23833.09</v>
      </c>
      <c r="L55" s="35"/>
      <c r="M55" s="35">
        <v>11501.5</v>
      </c>
      <c r="N55" s="35"/>
      <c r="O55" s="35"/>
      <c r="P55" s="35"/>
      <c r="Q55" s="35"/>
      <c r="R55" s="35">
        <v>71794.52</v>
      </c>
      <c r="S55" s="35">
        <v>7075</v>
      </c>
      <c r="T55" s="35">
        <v>4192</v>
      </c>
      <c r="U55" s="35"/>
      <c r="V55" s="35">
        <v>3082.16</v>
      </c>
      <c r="W55" s="36">
        <v>1080</v>
      </c>
      <c r="X55" s="35"/>
      <c r="Y55" s="35">
        <v>317417.03999999998</v>
      </c>
      <c r="Z55" s="35"/>
      <c r="AA55" s="8"/>
    </row>
    <row r="56" spans="2:27" s="7" customFormat="1" ht="15.75" hidden="1" customHeight="1" x14ac:dyDescent="0.25">
      <c r="B56" s="13" t="s">
        <v>382</v>
      </c>
      <c r="C56" s="33">
        <v>207940.56</v>
      </c>
      <c r="D56" s="35">
        <f t="shared" si="0"/>
        <v>152777.14000000001</v>
      </c>
      <c r="E56" s="35"/>
      <c r="F56" s="35"/>
      <c r="G56" s="35"/>
      <c r="H56" s="35">
        <v>3910.28</v>
      </c>
      <c r="I56" s="35"/>
      <c r="J56" s="35"/>
      <c r="K56" s="35">
        <v>4208</v>
      </c>
      <c r="L56" s="35">
        <v>1129.43</v>
      </c>
      <c r="M56" s="35"/>
      <c r="N56" s="35"/>
      <c r="O56" s="35">
        <v>8269</v>
      </c>
      <c r="P56" s="35"/>
      <c r="Q56" s="35"/>
      <c r="R56" s="35">
        <v>7924.01</v>
      </c>
      <c r="S56" s="35"/>
      <c r="T56" s="35"/>
      <c r="U56" s="35"/>
      <c r="V56" s="35"/>
      <c r="W56" s="36"/>
      <c r="X56" s="35"/>
      <c r="Y56" s="35">
        <v>127336.42</v>
      </c>
      <c r="Z56" s="35"/>
      <c r="AA56" s="8"/>
    </row>
    <row r="57" spans="2:27" s="7" customFormat="1" ht="15.75" hidden="1" customHeight="1" x14ac:dyDescent="0.25">
      <c r="B57" s="13" t="s">
        <v>383</v>
      </c>
      <c r="C57" s="33">
        <v>58974</v>
      </c>
      <c r="D57" s="35">
        <f t="shared" si="0"/>
        <v>159344.04999999999</v>
      </c>
      <c r="E57" s="35"/>
      <c r="F57" s="35"/>
      <c r="G57" s="35"/>
      <c r="H57" s="35"/>
      <c r="I57" s="35"/>
      <c r="J57" s="35"/>
      <c r="K57" s="35">
        <v>2601</v>
      </c>
      <c r="L57" s="35"/>
      <c r="M57" s="35"/>
      <c r="N57" s="35"/>
      <c r="O57" s="35"/>
      <c r="P57" s="35"/>
      <c r="Q57" s="35"/>
      <c r="R57" s="35">
        <f>35822.35+11283.35</f>
        <v>47105.7</v>
      </c>
      <c r="S57" s="35"/>
      <c r="T57" s="35"/>
      <c r="U57" s="35"/>
      <c r="V57" s="35"/>
      <c r="W57" s="36">
        <v>869</v>
      </c>
      <c r="X57" s="35"/>
      <c r="Y57" s="35">
        <v>108768.35</v>
      </c>
      <c r="Z57" s="35"/>
      <c r="AA57" s="8"/>
    </row>
    <row r="58" spans="2:27" s="7" customFormat="1" ht="15.75" hidden="1" customHeight="1" x14ac:dyDescent="0.25">
      <c r="B58" s="13" t="s">
        <v>384</v>
      </c>
      <c r="C58" s="33">
        <v>227161.24</v>
      </c>
      <c r="D58" s="35">
        <f t="shared" si="0"/>
        <v>218411.92600000001</v>
      </c>
      <c r="E58" s="35"/>
      <c r="F58" s="35"/>
      <c r="G58" s="35"/>
      <c r="H58" s="35"/>
      <c r="I58" s="35"/>
      <c r="J58" s="35"/>
      <c r="K58" s="35">
        <f>3771.03+7446</f>
        <v>11217.03</v>
      </c>
      <c r="L58" s="35">
        <f>376.479+933.38</f>
        <v>1309.8589999999999</v>
      </c>
      <c r="M58" s="35"/>
      <c r="N58" s="35"/>
      <c r="O58" s="35"/>
      <c r="P58" s="35"/>
      <c r="Q58" s="35"/>
      <c r="R58" s="35">
        <f>6909.78+8300.214+1589.023+18636.82</f>
        <v>35435.837</v>
      </c>
      <c r="S58" s="35"/>
      <c r="T58" s="35">
        <v>3398.66</v>
      </c>
      <c r="U58" s="35"/>
      <c r="V58" s="35"/>
      <c r="W58" s="36">
        <v>1170</v>
      </c>
      <c r="X58" s="35"/>
      <c r="Y58" s="35">
        <v>165880.54</v>
      </c>
      <c r="Z58" s="35"/>
      <c r="AA58" s="8"/>
    </row>
    <row r="59" spans="2:27" s="7" customFormat="1" ht="15.75" hidden="1" customHeight="1" x14ac:dyDescent="0.25">
      <c r="B59" s="13" t="s">
        <v>385</v>
      </c>
      <c r="C59" s="33">
        <v>144634.79999999999</v>
      </c>
      <c r="D59" s="35">
        <f t="shared" si="0"/>
        <v>7293.5599999999995</v>
      </c>
      <c r="E59" s="35"/>
      <c r="F59" s="35"/>
      <c r="G59" s="35"/>
      <c r="H59" s="35"/>
      <c r="I59" s="35"/>
      <c r="J59" s="35"/>
      <c r="K59" s="35">
        <v>2508</v>
      </c>
      <c r="L59" s="35"/>
      <c r="M59" s="35"/>
      <c r="N59" s="35"/>
      <c r="O59" s="35"/>
      <c r="P59" s="35"/>
      <c r="Q59" s="35"/>
      <c r="R59" s="35">
        <v>3601.56</v>
      </c>
      <c r="S59" s="35"/>
      <c r="T59" s="35">
        <v>315</v>
      </c>
      <c r="U59" s="35"/>
      <c r="V59" s="35"/>
      <c r="W59" s="36">
        <v>869</v>
      </c>
      <c r="X59" s="35"/>
      <c r="Y59" s="35"/>
      <c r="Z59" s="35"/>
      <c r="AA59" s="8"/>
    </row>
    <row r="60" spans="2:27" s="7" customFormat="1" ht="15.75" hidden="1" customHeight="1" x14ac:dyDescent="0.25">
      <c r="B60" s="13" t="s">
        <v>374</v>
      </c>
      <c r="C60" s="33">
        <v>165147</v>
      </c>
      <c r="D60" s="35">
        <f t="shared" si="0"/>
        <v>144912.16999999998</v>
      </c>
      <c r="E60" s="35"/>
      <c r="F60" s="35"/>
      <c r="G60" s="35"/>
      <c r="H60" s="35"/>
      <c r="I60" s="35"/>
      <c r="J60" s="35"/>
      <c r="K60" s="35">
        <v>7046</v>
      </c>
      <c r="L60" s="35"/>
      <c r="M60" s="35"/>
      <c r="N60" s="35"/>
      <c r="O60" s="35"/>
      <c r="P60" s="35"/>
      <c r="Q60" s="35"/>
      <c r="R60" s="35"/>
      <c r="S60" s="35"/>
      <c r="T60" s="35">
        <v>4556.74</v>
      </c>
      <c r="U60" s="35"/>
      <c r="V60" s="35"/>
      <c r="W60" s="36">
        <v>869</v>
      </c>
      <c r="X60" s="35"/>
      <c r="Y60" s="35">
        <v>132440.43</v>
      </c>
      <c r="Z60" s="35"/>
      <c r="AA60" s="8"/>
    </row>
    <row r="61" spans="2:27" s="7" customFormat="1" ht="15.75" hidden="1" customHeight="1" x14ac:dyDescent="0.25">
      <c r="B61" s="13" t="s">
        <v>373</v>
      </c>
      <c r="C61" s="33">
        <v>83050.559999999998</v>
      </c>
      <c r="D61" s="35">
        <f t="shared" si="0"/>
        <v>8290</v>
      </c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>
        <v>4795</v>
      </c>
      <c r="S61" s="35"/>
      <c r="T61" s="35">
        <v>2059</v>
      </c>
      <c r="U61" s="35">
        <v>1436</v>
      </c>
      <c r="V61" s="35"/>
      <c r="W61" s="36"/>
      <c r="X61" s="35"/>
      <c r="Y61" s="35"/>
      <c r="Z61" s="35"/>
      <c r="AA61" s="8"/>
    </row>
    <row r="62" spans="2:27" s="7" customFormat="1" ht="15.75" hidden="1" customHeight="1" x14ac:dyDescent="0.25">
      <c r="B62" s="13" t="s">
        <v>372</v>
      </c>
      <c r="C62" s="33">
        <v>219204.12</v>
      </c>
      <c r="D62" s="35">
        <f t="shared" si="0"/>
        <v>242419.5</v>
      </c>
      <c r="E62" s="35"/>
      <c r="F62" s="35"/>
      <c r="G62" s="35"/>
      <c r="H62" s="35">
        <v>767.3</v>
      </c>
      <c r="I62" s="35"/>
      <c r="J62" s="35"/>
      <c r="K62" s="35">
        <v>1844</v>
      </c>
      <c r="L62" s="35">
        <f>5335.55+11280</f>
        <v>16615.55</v>
      </c>
      <c r="M62" s="35"/>
      <c r="N62" s="35"/>
      <c r="O62" s="35"/>
      <c r="P62" s="35"/>
      <c r="Q62" s="35"/>
      <c r="R62" s="35">
        <v>24323</v>
      </c>
      <c r="S62" s="35"/>
      <c r="T62" s="35"/>
      <c r="U62" s="35"/>
      <c r="V62" s="35"/>
      <c r="W62" s="36">
        <v>869</v>
      </c>
      <c r="X62" s="35"/>
      <c r="Y62" s="35">
        <v>198000.65</v>
      </c>
      <c r="Z62" s="35"/>
      <c r="AA62" s="8"/>
    </row>
    <row r="63" spans="2:27" s="7" customFormat="1" ht="15.75" hidden="1" customHeight="1" x14ac:dyDescent="0.25">
      <c r="B63" s="13" t="s">
        <v>371</v>
      </c>
      <c r="C63" s="33">
        <v>95525.28</v>
      </c>
      <c r="D63" s="35">
        <f t="shared" si="0"/>
        <v>108436.23</v>
      </c>
      <c r="E63" s="35"/>
      <c r="F63" s="35"/>
      <c r="G63" s="35"/>
      <c r="H63" s="35"/>
      <c r="I63" s="35"/>
      <c r="J63" s="35"/>
      <c r="K63" s="35"/>
      <c r="L63" s="35">
        <f>9071.27+41789.1</f>
        <v>50860.369999999995</v>
      </c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6">
        <v>1607.68</v>
      </c>
      <c r="X63" s="35"/>
      <c r="Y63" s="35">
        <v>55968.18</v>
      </c>
      <c r="Z63" s="35"/>
      <c r="AA63" s="8"/>
    </row>
    <row r="64" spans="2:27" s="7" customFormat="1" ht="15.75" hidden="1" customHeight="1" x14ac:dyDescent="0.25">
      <c r="B64" s="13" t="s">
        <v>370</v>
      </c>
      <c r="C64" s="33">
        <v>115477.2</v>
      </c>
      <c r="D64" s="35">
        <f t="shared" si="0"/>
        <v>193554.36</v>
      </c>
      <c r="E64" s="35"/>
      <c r="F64" s="35"/>
      <c r="G64" s="35"/>
      <c r="H64" s="35"/>
      <c r="I64" s="35">
        <v>78496</v>
      </c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>
        <f>4943.02+3998</f>
        <v>8941.02</v>
      </c>
      <c r="U64" s="35"/>
      <c r="V64" s="35"/>
      <c r="W64" s="36">
        <v>869</v>
      </c>
      <c r="X64" s="35"/>
      <c r="Y64" s="35">
        <v>105248.34</v>
      </c>
      <c r="Z64" s="35"/>
      <c r="AA64" s="8"/>
    </row>
    <row r="65" spans="2:27" s="7" customFormat="1" ht="15.75" hidden="1" customHeight="1" x14ac:dyDescent="0.25">
      <c r="B65" s="13" t="s">
        <v>369</v>
      </c>
      <c r="C65" s="33">
        <v>228047.76</v>
      </c>
      <c r="D65" s="35">
        <f t="shared" si="0"/>
        <v>173380.79</v>
      </c>
      <c r="E65" s="35"/>
      <c r="F65" s="35"/>
      <c r="G65" s="35"/>
      <c r="H65" s="35"/>
      <c r="I65" s="35"/>
      <c r="J65" s="35"/>
      <c r="K65" s="35">
        <f>8527.66+1986</f>
        <v>10513.66</v>
      </c>
      <c r="L65" s="35"/>
      <c r="M65" s="35"/>
      <c r="N65" s="35"/>
      <c r="O65" s="35"/>
      <c r="P65" s="35"/>
      <c r="Q65" s="35"/>
      <c r="R65" s="35"/>
      <c r="S65" s="35">
        <f>7076.66+9417</f>
        <v>16493.66</v>
      </c>
      <c r="T65" s="35"/>
      <c r="U65" s="35"/>
      <c r="V65" s="35"/>
      <c r="W65" s="36">
        <v>1701</v>
      </c>
      <c r="X65" s="35"/>
      <c r="Y65" s="35">
        <v>144672.47</v>
      </c>
      <c r="Z65" s="35"/>
      <c r="AA65" s="8"/>
    </row>
    <row r="66" spans="2:27" s="7" customFormat="1" ht="15.75" hidden="1" customHeight="1" x14ac:dyDescent="0.25">
      <c r="B66" s="13" t="s">
        <v>368</v>
      </c>
      <c r="C66" s="33">
        <v>32529</v>
      </c>
      <c r="D66" s="35">
        <f t="shared" si="0"/>
        <v>50464.28</v>
      </c>
      <c r="E66" s="35"/>
      <c r="F66" s="35"/>
      <c r="G66" s="35"/>
      <c r="H66" s="35"/>
      <c r="I66" s="35"/>
      <c r="J66" s="35"/>
      <c r="K66" s="35">
        <v>1988</v>
      </c>
      <c r="L66" s="35"/>
      <c r="M66" s="35"/>
      <c r="N66" s="35"/>
      <c r="O66" s="35"/>
      <c r="P66" s="35"/>
      <c r="Q66" s="35"/>
      <c r="R66" s="35"/>
      <c r="S66" s="35"/>
      <c r="T66" s="35">
        <v>4663.1400000000003</v>
      </c>
      <c r="U66" s="35"/>
      <c r="V66" s="35"/>
      <c r="W66" s="36">
        <v>869</v>
      </c>
      <c r="X66" s="35"/>
      <c r="Y66" s="35">
        <v>42944.14</v>
      </c>
      <c r="Z66" s="35"/>
      <c r="AA66" s="8"/>
    </row>
    <row r="67" spans="2:27" s="7" customFormat="1" ht="15.75" hidden="1" customHeight="1" x14ac:dyDescent="0.25">
      <c r="B67" s="13" t="s">
        <v>367</v>
      </c>
      <c r="C67" s="33">
        <v>97627.44</v>
      </c>
      <c r="D67" s="35">
        <f t="shared" si="0"/>
        <v>98931.510000000009</v>
      </c>
      <c r="E67" s="35"/>
      <c r="F67" s="35"/>
      <c r="G67" s="35"/>
      <c r="H67" s="35"/>
      <c r="I67" s="35"/>
      <c r="J67" s="35"/>
      <c r="K67" s="35">
        <v>1986</v>
      </c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6">
        <f>1124.21+869</f>
        <v>1993.21</v>
      </c>
      <c r="X67" s="35"/>
      <c r="Y67" s="35">
        <v>94952.3</v>
      </c>
      <c r="Z67" s="35"/>
      <c r="AA67" s="8"/>
    </row>
    <row r="68" spans="2:27" s="7" customFormat="1" ht="15.75" hidden="1" customHeight="1" x14ac:dyDescent="0.25">
      <c r="B68" s="12" t="s">
        <v>366</v>
      </c>
      <c r="C68" s="33">
        <v>59029.93</v>
      </c>
      <c r="D68" s="35">
        <f t="shared" si="0"/>
        <v>0</v>
      </c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6"/>
      <c r="X68" s="35"/>
      <c r="Y68" s="35"/>
      <c r="Z68" s="35"/>
      <c r="AA68" s="8"/>
    </row>
    <row r="69" spans="2:27" s="7" customFormat="1" ht="15.75" hidden="1" customHeight="1" x14ac:dyDescent="0.25">
      <c r="B69" s="12" t="s">
        <v>365</v>
      </c>
      <c r="C69" s="33">
        <v>34042.949999999997</v>
      </c>
      <c r="D69" s="35">
        <f t="shared" si="0"/>
        <v>22459.11</v>
      </c>
      <c r="E69" s="35"/>
      <c r="F69" s="35"/>
      <c r="G69" s="35"/>
      <c r="H69" s="35"/>
      <c r="I69" s="35"/>
      <c r="J69" s="35"/>
      <c r="K69" s="35"/>
      <c r="L69" s="35">
        <v>302</v>
      </c>
      <c r="M69" s="35"/>
      <c r="N69" s="35"/>
      <c r="O69" s="35"/>
      <c r="P69" s="35"/>
      <c r="Q69" s="35"/>
      <c r="R69" s="35"/>
      <c r="S69" s="35"/>
      <c r="T69" s="35"/>
      <c r="U69" s="35">
        <v>1684.13</v>
      </c>
      <c r="V69" s="35">
        <f>2640.98+17832</f>
        <v>20472.98</v>
      </c>
      <c r="W69" s="36"/>
      <c r="X69" s="35"/>
      <c r="Y69" s="35"/>
      <c r="Z69" s="35"/>
      <c r="AA69" s="8"/>
    </row>
    <row r="70" spans="2:27" s="7" customFormat="1" ht="15.75" hidden="1" customHeight="1" x14ac:dyDescent="0.25">
      <c r="B70" s="12" t="s">
        <v>364</v>
      </c>
      <c r="C70" s="33">
        <v>24970.66</v>
      </c>
      <c r="D70" s="35">
        <f t="shared" si="0"/>
        <v>30712.11</v>
      </c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6"/>
      <c r="X70" s="35"/>
      <c r="Y70" s="35">
        <v>30712.11</v>
      </c>
      <c r="Z70" s="35"/>
      <c r="AA70" s="8"/>
    </row>
    <row r="71" spans="2:27" s="7" customFormat="1" ht="15.75" hidden="1" customHeight="1" x14ac:dyDescent="0.25">
      <c r="B71" s="12" t="s">
        <v>363</v>
      </c>
      <c r="C71" s="33">
        <v>45249.59</v>
      </c>
      <c r="D71" s="35">
        <f t="shared" si="0"/>
        <v>59542.99</v>
      </c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>
        <v>3899.72</v>
      </c>
      <c r="S71" s="35"/>
      <c r="T71" s="35">
        <v>1699.1</v>
      </c>
      <c r="U71" s="35"/>
      <c r="V71" s="35"/>
      <c r="W71" s="36"/>
      <c r="X71" s="35"/>
      <c r="Y71" s="35">
        <v>53944.17</v>
      </c>
      <c r="Z71" s="35"/>
      <c r="AA71" s="8"/>
    </row>
    <row r="72" spans="2:27" s="7" customFormat="1" ht="15.75" hidden="1" customHeight="1" x14ac:dyDescent="0.25">
      <c r="B72" s="12" t="s">
        <v>362</v>
      </c>
      <c r="C72" s="33">
        <v>34915.78</v>
      </c>
      <c r="D72" s="35">
        <f t="shared" si="0"/>
        <v>28439.9</v>
      </c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>
        <v>1159.81</v>
      </c>
      <c r="V72" s="35"/>
      <c r="W72" s="36"/>
      <c r="X72" s="35"/>
      <c r="Y72" s="35">
        <v>27280.09</v>
      </c>
      <c r="Z72" s="35"/>
      <c r="AA72" s="8"/>
    </row>
    <row r="73" spans="2:27" s="7" customFormat="1" ht="15.75" hidden="1" customHeight="1" x14ac:dyDescent="0.25">
      <c r="B73" s="12" t="s">
        <v>361</v>
      </c>
      <c r="C73" s="33">
        <v>102098.44</v>
      </c>
      <c r="D73" s="35">
        <f t="shared" si="0"/>
        <v>5442.49</v>
      </c>
      <c r="E73" s="35"/>
      <c r="F73" s="35"/>
      <c r="G73" s="35"/>
      <c r="H73" s="35"/>
      <c r="I73" s="35"/>
      <c r="J73" s="35"/>
      <c r="K73" s="35">
        <v>3049.49</v>
      </c>
      <c r="L73" s="35"/>
      <c r="M73" s="35">
        <v>2393</v>
      </c>
      <c r="N73" s="35"/>
      <c r="O73" s="35"/>
      <c r="P73" s="35"/>
      <c r="Q73" s="35"/>
      <c r="R73" s="35"/>
      <c r="S73" s="35"/>
      <c r="T73" s="35"/>
      <c r="U73" s="35"/>
      <c r="V73" s="35"/>
      <c r="W73" s="36"/>
      <c r="X73" s="35"/>
      <c r="Y73" s="35"/>
      <c r="Z73" s="35"/>
      <c r="AA73" s="8"/>
    </row>
    <row r="74" spans="2:27" s="7" customFormat="1" ht="15.75" hidden="1" customHeight="1" x14ac:dyDescent="0.25">
      <c r="B74" s="12" t="s">
        <v>360</v>
      </c>
      <c r="C74" s="33">
        <v>103675.76</v>
      </c>
      <c r="D74" s="35">
        <f t="shared" si="0"/>
        <v>53185.36</v>
      </c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>
        <v>6633.2</v>
      </c>
      <c r="S74" s="35"/>
      <c r="T74" s="35"/>
      <c r="U74" s="35"/>
      <c r="V74" s="35"/>
      <c r="W74" s="36"/>
      <c r="X74" s="35"/>
      <c r="Y74" s="35">
        <v>46552.160000000003</v>
      </c>
      <c r="Z74" s="35"/>
      <c r="AA74" s="8"/>
    </row>
    <row r="75" spans="2:27" s="7" customFormat="1" ht="15.75" hidden="1" customHeight="1" x14ac:dyDescent="0.25">
      <c r="B75" s="12" t="s">
        <v>359</v>
      </c>
      <c r="C75" s="33">
        <v>59067.6</v>
      </c>
      <c r="D75" s="35">
        <f t="shared" si="0"/>
        <v>2321.5</v>
      </c>
      <c r="E75" s="35"/>
      <c r="F75" s="35"/>
      <c r="G75" s="35"/>
      <c r="H75" s="35"/>
      <c r="I75" s="35"/>
      <c r="J75" s="35"/>
      <c r="K75" s="35"/>
      <c r="L75" s="35"/>
      <c r="M75" s="35">
        <v>1402.49</v>
      </c>
      <c r="N75" s="35"/>
      <c r="O75" s="35">
        <v>919.01</v>
      </c>
      <c r="P75" s="35"/>
      <c r="Q75" s="35"/>
      <c r="R75" s="35"/>
      <c r="S75" s="35"/>
      <c r="T75" s="35"/>
      <c r="U75" s="35"/>
      <c r="V75" s="35"/>
      <c r="W75" s="36"/>
      <c r="X75" s="35"/>
      <c r="Y75" s="35"/>
      <c r="Z75" s="35"/>
      <c r="AA75" s="8"/>
    </row>
    <row r="76" spans="2:27" s="7" customFormat="1" ht="15.75" hidden="1" customHeight="1" x14ac:dyDescent="0.25">
      <c r="B76" s="12" t="s">
        <v>358</v>
      </c>
      <c r="C76" s="33">
        <v>22425.3</v>
      </c>
      <c r="D76" s="35">
        <f t="shared" si="0"/>
        <v>67161.34</v>
      </c>
      <c r="E76" s="35"/>
      <c r="F76" s="35"/>
      <c r="G76" s="35"/>
      <c r="H76" s="35"/>
      <c r="I76" s="35"/>
      <c r="J76" s="35"/>
      <c r="K76" s="35">
        <v>2066.36</v>
      </c>
      <c r="L76" s="35"/>
      <c r="M76" s="35"/>
      <c r="N76" s="35"/>
      <c r="O76" s="35"/>
      <c r="P76" s="35"/>
      <c r="Q76" s="35"/>
      <c r="R76" s="35"/>
      <c r="S76" s="35">
        <v>1812</v>
      </c>
      <c r="T76" s="35">
        <v>731.01</v>
      </c>
      <c r="U76" s="35">
        <v>1391.77</v>
      </c>
      <c r="V76" s="35"/>
      <c r="W76" s="36"/>
      <c r="X76" s="35"/>
      <c r="Y76" s="35">
        <v>61160.2</v>
      </c>
      <c r="Z76" s="35"/>
      <c r="AA76" s="8"/>
    </row>
    <row r="77" spans="2:27" s="7" customFormat="1" ht="15.75" hidden="1" customHeight="1" x14ac:dyDescent="0.25">
      <c r="B77" s="12" t="s">
        <v>357</v>
      </c>
      <c r="C77" s="33">
        <v>94463.22</v>
      </c>
      <c r="D77" s="35">
        <f t="shared" si="0"/>
        <v>83413.850000000006</v>
      </c>
      <c r="E77" s="35"/>
      <c r="F77" s="35"/>
      <c r="G77" s="35"/>
      <c r="H77" s="35"/>
      <c r="I77" s="35"/>
      <c r="J77" s="35"/>
      <c r="K77" s="35">
        <v>2018</v>
      </c>
      <c r="L77" s="35"/>
      <c r="M77" s="35"/>
      <c r="N77" s="35"/>
      <c r="O77" s="35"/>
      <c r="P77" s="35"/>
      <c r="Q77" s="35"/>
      <c r="R77" s="35"/>
      <c r="S77" s="35"/>
      <c r="T77" s="35"/>
      <c r="U77" s="35">
        <f>1159.81+1361</f>
        <v>2520.81</v>
      </c>
      <c r="V77" s="35">
        <v>1434.79</v>
      </c>
      <c r="W77" s="36"/>
      <c r="X77" s="35"/>
      <c r="Y77" s="35">
        <v>77440.25</v>
      </c>
      <c r="Z77" s="35"/>
      <c r="AA77" s="8"/>
    </row>
    <row r="78" spans="2:27" s="7" customFormat="1" ht="15.75" hidden="1" customHeight="1" x14ac:dyDescent="0.25">
      <c r="B78" s="12" t="s">
        <v>356</v>
      </c>
      <c r="C78" s="33">
        <v>35563.96</v>
      </c>
      <c r="D78" s="35">
        <f t="shared" si="0"/>
        <v>0</v>
      </c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6"/>
      <c r="X78" s="35"/>
      <c r="Y78" s="35"/>
      <c r="Z78" s="35"/>
      <c r="AA78" s="8"/>
    </row>
    <row r="79" spans="2:27" s="7" customFormat="1" ht="15.75" hidden="1" customHeight="1" x14ac:dyDescent="0.25">
      <c r="B79" s="12" t="s">
        <v>355</v>
      </c>
      <c r="C79" s="33">
        <v>99885.69</v>
      </c>
      <c r="D79" s="35">
        <f t="shared" ref="D79:D142" si="1">E79+F79+H79+I79+J79+K79+L79+M79+O79+P79+Q79+R79+S79+T79+U79+V79+W79+X79+Y79+Z79+G79</f>
        <v>120506.84000000001</v>
      </c>
      <c r="E79" s="35"/>
      <c r="F79" s="35"/>
      <c r="G79" s="35"/>
      <c r="H79" s="35"/>
      <c r="I79" s="35">
        <v>80553</v>
      </c>
      <c r="J79" s="35"/>
      <c r="K79" s="35"/>
      <c r="L79" s="35"/>
      <c r="M79" s="35">
        <v>1795</v>
      </c>
      <c r="N79" s="35"/>
      <c r="O79" s="35"/>
      <c r="P79" s="35"/>
      <c r="Q79" s="35"/>
      <c r="R79" s="35"/>
      <c r="S79" s="35"/>
      <c r="T79" s="35"/>
      <c r="U79" s="35"/>
      <c r="V79" s="35">
        <v>37293.32</v>
      </c>
      <c r="W79" s="36">
        <v>865.52</v>
      </c>
      <c r="X79" s="35"/>
      <c r="Y79" s="35"/>
      <c r="Z79" s="35"/>
      <c r="AA79" s="8"/>
    </row>
    <row r="80" spans="2:27" s="7" customFormat="1" ht="15.75" hidden="1" customHeight="1" x14ac:dyDescent="0.25">
      <c r="B80" s="12" t="s">
        <v>354</v>
      </c>
      <c r="C80" s="33">
        <v>269655.34000000003</v>
      </c>
      <c r="D80" s="35">
        <f t="shared" si="1"/>
        <v>23634.57</v>
      </c>
      <c r="E80" s="35"/>
      <c r="F80" s="35"/>
      <c r="G80" s="35"/>
      <c r="H80" s="35"/>
      <c r="I80" s="35"/>
      <c r="J80" s="35"/>
      <c r="K80" s="35">
        <v>1236.94</v>
      </c>
      <c r="L80" s="35"/>
      <c r="M80" s="35"/>
      <c r="N80" s="35"/>
      <c r="O80" s="35"/>
      <c r="P80" s="35"/>
      <c r="Q80" s="35"/>
      <c r="R80" s="35">
        <v>20982.11</v>
      </c>
      <c r="S80" s="35"/>
      <c r="T80" s="35"/>
      <c r="U80" s="35"/>
      <c r="V80" s="35">
        <v>550</v>
      </c>
      <c r="W80" s="36">
        <v>865.52</v>
      </c>
      <c r="X80" s="35"/>
      <c r="Y80" s="35"/>
      <c r="Z80" s="35"/>
      <c r="AA80" s="8"/>
    </row>
    <row r="81" spans="2:27" s="7" customFormat="1" ht="15.75" hidden="1" customHeight="1" x14ac:dyDescent="0.25">
      <c r="B81" s="12" t="s">
        <v>353</v>
      </c>
      <c r="C81" s="33">
        <v>270371.61</v>
      </c>
      <c r="D81" s="35">
        <f t="shared" si="1"/>
        <v>52332.396000000001</v>
      </c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>
        <v>2621</v>
      </c>
      <c r="P81" s="35"/>
      <c r="Q81" s="35"/>
      <c r="R81" s="35">
        <f>2321.166+3410</f>
        <v>5731.1660000000002</v>
      </c>
      <c r="S81" s="35"/>
      <c r="T81" s="35"/>
      <c r="U81" s="35">
        <v>2523</v>
      </c>
      <c r="V81" s="35">
        <v>40591.71</v>
      </c>
      <c r="W81" s="36">
        <v>865.52</v>
      </c>
      <c r="X81" s="35"/>
      <c r="Y81" s="35"/>
      <c r="Z81" s="35"/>
      <c r="AA81" s="8"/>
    </row>
    <row r="82" spans="2:27" s="7" customFormat="1" ht="15.75" hidden="1" customHeight="1" x14ac:dyDescent="0.25">
      <c r="B82" s="12" t="s">
        <v>352</v>
      </c>
      <c r="C82" s="33">
        <v>325864.71999999997</v>
      </c>
      <c r="D82" s="35">
        <f>E82+F82+H82+I82+J82+K82+L82+M82+O82+P82+Q82+R82+S82+T82+U82+V82+W82+X82+Y82+Z82+G82+N82</f>
        <v>20182.07</v>
      </c>
      <c r="E82" s="35"/>
      <c r="F82" s="35"/>
      <c r="G82" s="35"/>
      <c r="H82" s="35">
        <v>2217.2199999999998</v>
      </c>
      <c r="I82" s="35"/>
      <c r="J82" s="35"/>
      <c r="K82" s="35">
        <v>1130.44</v>
      </c>
      <c r="L82" s="35"/>
      <c r="M82" s="35"/>
      <c r="N82" s="35">
        <v>16834.41</v>
      </c>
      <c r="O82" s="35"/>
      <c r="P82" s="35"/>
      <c r="Q82" s="35"/>
      <c r="R82" s="35"/>
      <c r="S82" s="35"/>
      <c r="T82" s="35"/>
      <c r="U82" s="35"/>
      <c r="V82" s="35"/>
      <c r="W82" s="36"/>
      <c r="X82" s="35"/>
      <c r="Y82" s="35"/>
      <c r="Z82" s="35"/>
      <c r="AA82" s="8"/>
    </row>
    <row r="83" spans="2:27" s="7" customFormat="1" ht="15.75" hidden="1" customHeight="1" x14ac:dyDescent="0.25">
      <c r="B83" s="13" t="s">
        <v>351</v>
      </c>
      <c r="C83" s="33">
        <v>176999.04000000001</v>
      </c>
      <c r="D83" s="35">
        <f t="shared" si="1"/>
        <v>25428.48</v>
      </c>
      <c r="E83" s="35"/>
      <c r="F83" s="35"/>
      <c r="G83" s="35"/>
      <c r="H83" s="35"/>
      <c r="I83" s="35"/>
      <c r="J83" s="35"/>
      <c r="K83" s="35">
        <v>5238</v>
      </c>
      <c r="L83" s="35">
        <f>376.48+19814</f>
        <v>20190.48</v>
      </c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6"/>
      <c r="X83" s="35"/>
      <c r="Y83" s="35"/>
      <c r="Z83" s="35"/>
      <c r="AA83" s="8"/>
    </row>
    <row r="84" spans="2:27" s="7" customFormat="1" ht="15.75" hidden="1" customHeight="1" x14ac:dyDescent="0.25">
      <c r="B84" s="13" t="s">
        <v>350</v>
      </c>
      <c r="C84" s="33">
        <v>174312.72</v>
      </c>
      <c r="D84" s="35">
        <f t="shared" si="1"/>
        <v>8873.619999999999</v>
      </c>
      <c r="E84" s="35"/>
      <c r="F84" s="35"/>
      <c r="G84" s="35"/>
      <c r="H84" s="35"/>
      <c r="I84" s="35"/>
      <c r="J84" s="35"/>
      <c r="K84" s="35"/>
      <c r="L84" s="35">
        <v>376.48</v>
      </c>
      <c r="M84" s="35">
        <v>8497.14</v>
      </c>
      <c r="N84" s="35"/>
      <c r="O84" s="35"/>
      <c r="P84" s="35"/>
      <c r="Q84" s="35"/>
      <c r="R84" s="35"/>
      <c r="S84" s="35"/>
      <c r="T84" s="35"/>
      <c r="U84" s="35"/>
      <c r="V84" s="35"/>
      <c r="W84" s="36"/>
      <c r="X84" s="35"/>
      <c r="Y84" s="35"/>
      <c r="Z84" s="35"/>
      <c r="AA84" s="8"/>
    </row>
    <row r="85" spans="2:27" s="7" customFormat="1" ht="15.75" hidden="1" customHeight="1" x14ac:dyDescent="0.25">
      <c r="B85" s="13" t="s">
        <v>1</v>
      </c>
      <c r="C85" s="33">
        <v>52073.88</v>
      </c>
      <c r="D85" s="35">
        <f t="shared" si="1"/>
        <v>2880.05</v>
      </c>
      <c r="E85" s="35"/>
      <c r="F85" s="35"/>
      <c r="G85" s="35"/>
      <c r="H85" s="35"/>
      <c r="I85" s="35"/>
      <c r="J85" s="35"/>
      <c r="K85" s="35"/>
      <c r="L85" s="35"/>
      <c r="M85" s="35">
        <v>1139.05</v>
      </c>
      <c r="N85" s="35"/>
      <c r="O85" s="35"/>
      <c r="P85" s="35"/>
      <c r="Q85" s="35"/>
      <c r="R85" s="35">
        <v>1741</v>
      </c>
      <c r="S85" s="35"/>
      <c r="T85" s="35"/>
      <c r="U85" s="35"/>
      <c r="V85" s="35"/>
      <c r="W85" s="36"/>
      <c r="X85" s="35"/>
      <c r="Y85" s="35"/>
      <c r="Z85" s="35"/>
      <c r="AA85" s="8"/>
    </row>
    <row r="86" spans="2:27" s="7" customFormat="1" ht="15.75" hidden="1" customHeight="1" x14ac:dyDescent="0.25">
      <c r="B86" s="13" t="s">
        <v>349</v>
      </c>
      <c r="C86" s="33">
        <v>73322.399999999994</v>
      </c>
      <c r="D86" s="35">
        <f t="shared" si="1"/>
        <v>0</v>
      </c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6"/>
      <c r="X86" s="35"/>
      <c r="Y86" s="35"/>
      <c r="Z86" s="35"/>
      <c r="AA86" s="8"/>
    </row>
    <row r="87" spans="2:27" s="7" customFormat="1" ht="15.75" hidden="1" customHeight="1" x14ac:dyDescent="0.25">
      <c r="B87" s="13" t="s">
        <v>348</v>
      </c>
      <c r="C87" s="33">
        <v>114970.56</v>
      </c>
      <c r="D87" s="35">
        <f t="shared" si="1"/>
        <v>8903.5400000000009</v>
      </c>
      <c r="E87" s="35"/>
      <c r="F87" s="35"/>
      <c r="G87" s="35"/>
      <c r="H87" s="35"/>
      <c r="I87" s="35"/>
      <c r="J87" s="35"/>
      <c r="K87" s="35">
        <v>3938.91</v>
      </c>
      <c r="L87" s="35"/>
      <c r="M87" s="35"/>
      <c r="N87" s="35"/>
      <c r="O87" s="35"/>
      <c r="P87" s="35"/>
      <c r="Q87" s="35"/>
      <c r="R87" s="35">
        <v>775</v>
      </c>
      <c r="S87" s="35"/>
      <c r="T87" s="35"/>
      <c r="U87" s="35"/>
      <c r="V87" s="35">
        <v>4189.63</v>
      </c>
      <c r="W87" s="36"/>
      <c r="X87" s="35"/>
      <c r="Y87" s="35"/>
      <c r="Z87" s="35"/>
      <c r="AA87" s="8"/>
    </row>
    <row r="88" spans="2:27" s="7" customFormat="1" ht="15.75" hidden="1" customHeight="1" x14ac:dyDescent="0.25">
      <c r="B88" s="13" t="s">
        <v>347</v>
      </c>
      <c r="C88" s="33">
        <v>146320.20000000001</v>
      </c>
      <c r="D88" s="35">
        <f t="shared" si="1"/>
        <v>14333.6</v>
      </c>
      <c r="E88" s="35"/>
      <c r="F88" s="35"/>
      <c r="G88" s="35"/>
      <c r="H88" s="35"/>
      <c r="I88" s="35"/>
      <c r="J88" s="35"/>
      <c r="K88" s="35"/>
      <c r="L88" s="35"/>
      <c r="M88" s="35">
        <v>7496</v>
      </c>
      <c r="N88" s="35"/>
      <c r="O88" s="35"/>
      <c r="P88" s="35"/>
      <c r="Q88" s="35"/>
      <c r="R88" s="35"/>
      <c r="S88" s="35"/>
      <c r="T88" s="35">
        <v>6837.6</v>
      </c>
      <c r="U88" s="35"/>
      <c r="V88" s="35"/>
      <c r="W88" s="36"/>
      <c r="X88" s="35"/>
      <c r="Y88" s="35"/>
      <c r="Z88" s="35"/>
      <c r="AA88" s="8"/>
    </row>
    <row r="89" spans="2:27" s="7" customFormat="1" ht="15.75" hidden="1" customHeight="1" x14ac:dyDescent="0.25">
      <c r="B89" s="13" t="s">
        <v>346</v>
      </c>
      <c r="C89" s="33">
        <v>293923.8</v>
      </c>
      <c r="D89" s="35">
        <f t="shared" si="1"/>
        <v>15348.45</v>
      </c>
      <c r="E89" s="35"/>
      <c r="F89" s="35"/>
      <c r="G89" s="35"/>
      <c r="H89" s="35"/>
      <c r="I89" s="35"/>
      <c r="J89" s="35"/>
      <c r="K89" s="35">
        <v>2947.36</v>
      </c>
      <c r="L89" s="35"/>
      <c r="M89" s="35"/>
      <c r="N89" s="35"/>
      <c r="O89" s="35"/>
      <c r="P89" s="35"/>
      <c r="Q89" s="35"/>
      <c r="R89" s="35">
        <v>6522</v>
      </c>
      <c r="S89" s="35"/>
      <c r="T89" s="35">
        <v>5879.09</v>
      </c>
      <c r="U89" s="35"/>
      <c r="V89" s="35"/>
      <c r="W89" s="36"/>
      <c r="X89" s="35"/>
      <c r="Y89" s="35"/>
      <c r="Z89" s="35"/>
      <c r="AA89" s="8"/>
    </row>
    <row r="90" spans="2:27" s="7" customFormat="1" ht="15.75" hidden="1" customHeight="1" x14ac:dyDescent="0.25">
      <c r="B90" s="13" t="s">
        <v>345</v>
      </c>
      <c r="C90" s="33">
        <v>81984.960000000006</v>
      </c>
      <c r="D90" s="35">
        <f t="shared" si="1"/>
        <v>43610.36</v>
      </c>
      <c r="E90" s="35"/>
      <c r="F90" s="35"/>
      <c r="G90" s="35"/>
      <c r="H90" s="35">
        <v>1315.36</v>
      </c>
      <c r="I90" s="35"/>
      <c r="J90" s="35"/>
      <c r="K90" s="35">
        <v>1608.34</v>
      </c>
      <c r="L90" s="35"/>
      <c r="M90" s="35"/>
      <c r="N90" s="35"/>
      <c r="O90" s="35"/>
      <c r="P90" s="35"/>
      <c r="Q90" s="35"/>
      <c r="R90" s="35">
        <f>1781+7975.62</f>
        <v>9756.619999999999</v>
      </c>
      <c r="S90" s="35">
        <v>24756.6</v>
      </c>
      <c r="T90" s="35">
        <v>2767.1</v>
      </c>
      <c r="U90" s="35">
        <v>1010.48</v>
      </c>
      <c r="V90" s="35">
        <v>2395.86</v>
      </c>
      <c r="W90" s="36"/>
      <c r="X90" s="35"/>
      <c r="Y90" s="35"/>
      <c r="Z90" s="35"/>
      <c r="AA90" s="8"/>
    </row>
    <row r="91" spans="2:27" s="7" customFormat="1" ht="15.75" hidden="1" customHeight="1" x14ac:dyDescent="0.25">
      <c r="B91" s="13" t="s">
        <v>344</v>
      </c>
      <c r="C91" s="33">
        <v>302482.44</v>
      </c>
      <c r="D91" s="35">
        <f t="shared" si="1"/>
        <v>4308.6099999999997</v>
      </c>
      <c r="E91" s="35">
        <v>2828</v>
      </c>
      <c r="F91" s="35"/>
      <c r="G91" s="35"/>
      <c r="H91" s="35"/>
      <c r="I91" s="35"/>
      <c r="J91" s="35"/>
      <c r="K91" s="35">
        <f>109.61+1371</f>
        <v>1480.61</v>
      </c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6"/>
      <c r="X91" s="35"/>
      <c r="Y91" s="35"/>
      <c r="Z91" s="35"/>
      <c r="AA91" s="8"/>
    </row>
    <row r="92" spans="2:27" s="7" customFormat="1" ht="15.75" hidden="1" customHeight="1" x14ac:dyDescent="0.25">
      <c r="B92" s="13" t="s">
        <v>343</v>
      </c>
      <c r="C92" s="33">
        <v>275429.76000000001</v>
      </c>
      <c r="D92" s="35">
        <f t="shared" si="1"/>
        <v>284867.21600000001</v>
      </c>
      <c r="E92" s="35">
        <v>6635.14</v>
      </c>
      <c r="F92" s="35"/>
      <c r="G92" s="35"/>
      <c r="H92" s="35">
        <v>25479.5</v>
      </c>
      <c r="I92" s="35"/>
      <c r="J92" s="35"/>
      <c r="K92" s="35">
        <v>993.56</v>
      </c>
      <c r="L92" s="35">
        <v>752.94600000000003</v>
      </c>
      <c r="M92" s="35"/>
      <c r="N92" s="35"/>
      <c r="O92" s="35"/>
      <c r="P92" s="35"/>
      <c r="Q92" s="35"/>
      <c r="R92" s="35">
        <v>8530</v>
      </c>
      <c r="S92" s="35"/>
      <c r="T92" s="35">
        <f>12421.33+2134</f>
        <v>14555.33</v>
      </c>
      <c r="U92" s="35"/>
      <c r="V92" s="35"/>
      <c r="W92" s="36"/>
      <c r="X92" s="35"/>
      <c r="Y92" s="35">
        <v>227920.74</v>
      </c>
      <c r="Z92" s="35"/>
      <c r="AA92" s="8"/>
    </row>
    <row r="93" spans="2:27" s="7" customFormat="1" ht="15.75" hidden="1" customHeight="1" x14ac:dyDescent="0.25">
      <c r="B93" s="13" t="s">
        <v>342</v>
      </c>
      <c r="C93" s="33">
        <v>46585.56</v>
      </c>
      <c r="D93" s="35">
        <f t="shared" si="1"/>
        <v>47726</v>
      </c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>
        <v>3176.86</v>
      </c>
      <c r="S93" s="35"/>
      <c r="T93" s="35"/>
      <c r="U93" s="35"/>
      <c r="V93" s="35">
        <v>3717</v>
      </c>
      <c r="W93" s="36"/>
      <c r="X93" s="35"/>
      <c r="Y93" s="35">
        <v>40832.14</v>
      </c>
      <c r="Z93" s="35"/>
      <c r="AA93" s="8"/>
    </row>
    <row r="94" spans="2:27" s="7" customFormat="1" ht="15.75" hidden="1" customHeight="1" x14ac:dyDescent="0.25">
      <c r="B94" s="13" t="s">
        <v>341</v>
      </c>
      <c r="C94" s="33">
        <v>47445.24</v>
      </c>
      <c r="D94" s="35">
        <f t="shared" si="1"/>
        <v>115748.14000000001</v>
      </c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>
        <f>3963.79+4960</f>
        <v>8923.7900000000009</v>
      </c>
      <c r="S94" s="35"/>
      <c r="T94" s="35">
        <v>784</v>
      </c>
      <c r="U94" s="35"/>
      <c r="V94" s="35"/>
      <c r="W94" s="36"/>
      <c r="X94" s="35"/>
      <c r="Y94" s="35">
        <v>106040.35</v>
      </c>
      <c r="Z94" s="35"/>
      <c r="AA94" s="8"/>
    </row>
    <row r="95" spans="2:27" s="7" customFormat="1" ht="15.75" hidden="1" customHeight="1" x14ac:dyDescent="0.25">
      <c r="B95" s="13" t="s">
        <v>340</v>
      </c>
      <c r="C95" s="33">
        <v>442581.6</v>
      </c>
      <c r="D95" s="35">
        <f t="shared" si="1"/>
        <v>537012.57700000005</v>
      </c>
      <c r="E95" s="35"/>
      <c r="F95" s="35"/>
      <c r="G95" s="35"/>
      <c r="H95" s="35"/>
      <c r="I95" s="35">
        <v>143276.1</v>
      </c>
      <c r="J95" s="35"/>
      <c r="K95" s="35">
        <f>7781.85+382.816</f>
        <v>8164.6660000000002</v>
      </c>
      <c r="L95" s="35"/>
      <c r="M95" s="35"/>
      <c r="N95" s="35"/>
      <c r="O95" s="35"/>
      <c r="P95" s="35"/>
      <c r="Q95" s="35"/>
      <c r="R95" s="35">
        <f>12581.1+34739</f>
        <v>47320.1</v>
      </c>
      <c r="S95" s="35"/>
      <c r="T95" s="35">
        <v>474.63099999999997</v>
      </c>
      <c r="U95" s="35">
        <v>6808</v>
      </c>
      <c r="V95" s="35"/>
      <c r="W95" s="36"/>
      <c r="X95" s="35"/>
      <c r="Y95" s="35">
        <v>330969.08</v>
      </c>
      <c r="Z95" s="35"/>
      <c r="AA95" s="8"/>
    </row>
    <row r="96" spans="2:27" s="7" customFormat="1" ht="15.75" hidden="1" customHeight="1" x14ac:dyDescent="0.25">
      <c r="B96" s="13" t="s">
        <v>339</v>
      </c>
      <c r="C96" s="33">
        <v>222339.48</v>
      </c>
      <c r="D96" s="35">
        <f t="shared" si="1"/>
        <v>7313.0599999999995</v>
      </c>
      <c r="E96" s="35"/>
      <c r="F96" s="35"/>
      <c r="G96" s="35"/>
      <c r="H96" s="35"/>
      <c r="I96" s="35"/>
      <c r="J96" s="35"/>
      <c r="K96" s="35">
        <f>2181.74+565</f>
        <v>2746.74</v>
      </c>
      <c r="L96" s="35"/>
      <c r="M96" s="35"/>
      <c r="N96" s="35"/>
      <c r="O96" s="35"/>
      <c r="P96" s="35"/>
      <c r="Q96" s="35"/>
      <c r="R96" s="35"/>
      <c r="S96" s="35"/>
      <c r="T96" s="35">
        <v>4566.32</v>
      </c>
      <c r="U96" s="35"/>
      <c r="V96" s="35"/>
      <c r="W96" s="36"/>
      <c r="X96" s="35"/>
      <c r="Y96" s="35"/>
      <c r="Z96" s="35"/>
      <c r="AA96" s="8"/>
    </row>
    <row r="97" spans="2:27" s="7" customFormat="1" ht="15.75" hidden="1" customHeight="1" x14ac:dyDescent="0.25">
      <c r="B97" s="13" t="s">
        <v>338</v>
      </c>
      <c r="C97" s="33">
        <v>156409.20000000001</v>
      </c>
      <c r="D97" s="35">
        <f t="shared" si="1"/>
        <v>226566.33000000002</v>
      </c>
      <c r="E97" s="35"/>
      <c r="F97" s="35"/>
      <c r="G97" s="35"/>
      <c r="H97" s="35"/>
      <c r="I97" s="35">
        <v>73471</v>
      </c>
      <c r="J97" s="35"/>
      <c r="K97" s="35">
        <v>1265.6600000000001</v>
      </c>
      <c r="L97" s="35"/>
      <c r="M97" s="35">
        <v>19226</v>
      </c>
      <c r="N97" s="35"/>
      <c r="O97" s="35">
        <f>11835.45+8980</f>
        <v>20815.45</v>
      </c>
      <c r="P97" s="35"/>
      <c r="Q97" s="35"/>
      <c r="R97" s="35"/>
      <c r="S97" s="35"/>
      <c r="T97" s="35"/>
      <c r="U97" s="35">
        <f>5193.89+1522</f>
        <v>6715.89</v>
      </c>
      <c r="V97" s="35"/>
      <c r="W97" s="36"/>
      <c r="X97" s="35"/>
      <c r="Y97" s="35">
        <v>105072.33</v>
      </c>
      <c r="Z97" s="35"/>
      <c r="AA97" s="8"/>
    </row>
    <row r="98" spans="2:27" s="7" customFormat="1" ht="15.75" hidden="1" customHeight="1" x14ac:dyDescent="0.25">
      <c r="B98" s="13" t="s">
        <v>337</v>
      </c>
      <c r="C98" s="33">
        <v>239022.24</v>
      </c>
      <c r="D98" s="35">
        <f t="shared" si="1"/>
        <v>556240.61</v>
      </c>
      <c r="E98" s="35"/>
      <c r="F98" s="35"/>
      <c r="G98" s="35">
        <v>376208</v>
      </c>
      <c r="H98" s="35"/>
      <c r="I98" s="35"/>
      <c r="J98" s="35"/>
      <c r="K98" s="35"/>
      <c r="L98" s="35"/>
      <c r="M98" s="35">
        <f>5196.4+3257</f>
        <v>8453.4</v>
      </c>
      <c r="N98" s="35"/>
      <c r="O98" s="35">
        <v>4201</v>
      </c>
      <c r="P98" s="35"/>
      <c r="Q98" s="35"/>
      <c r="R98" s="35">
        <v>14103</v>
      </c>
      <c r="S98" s="35">
        <v>13944.1</v>
      </c>
      <c r="T98" s="35">
        <f>7079.2+691.48</f>
        <v>7770.68</v>
      </c>
      <c r="U98" s="35"/>
      <c r="V98" s="35"/>
      <c r="W98" s="36"/>
      <c r="X98" s="35"/>
      <c r="Y98" s="35">
        <v>131560.43</v>
      </c>
      <c r="Z98" s="35"/>
      <c r="AA98" s="8"/>
    </row>
    <row r="99" spans="2:27" s="7" customFormat="1" ht="15.75" hidden="1" customHeight="1" x14ac:dyDescent="0.25">
      <c r="B99" s="13" t="s">
        <v>336</v>
      </c>
      <c r="C99" s="33">
        <v>97011.72</v>
      </c>
      <c r="D99" s="35">
        <f t="shared" si="1"/>
        <v>124</v>
      </c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>
        <v>124</v>
      </c>
      <c r="V99" s="35"/>
      <c r="W99" s="36"/>
      <c r="X99" s="35"/>
      <c r="Y99" s="35"/>
      <c r="Z99" s="35"/>
      <c r="AA99" s="8"/>
    </row>
    <row r="100" spans="2:27" s="7" customFormat="1" ht="15.75" hidden="1" customHeight="1" x14ac:dyDescent="0.25">
      <c r="B100" s="13" t="s">
        <v>335</v>
      </c>
      <c r="C100" s="33">
        <v>441757.68</v>
      </c>
      <c r="D100" s="35">
        <f t="shared" si="1"/>
        <v>64023.055</v>
      </c>
      <c r="E100" s="35"/>
      <c r="F100" s="35"/>
      <c r="G100" s="35"/>
      <c r="H100" s="35">
        <v>15353.8</v>
      </c>
      <c r="I100" s="35"/>
      <c r="J100" s="35"/>
      <c r="K100" s="35">
        <v>3899.9</v>
      </c>
      <c r="L100" s="35"/>
      <c r="M100" s="35">
        <v>3257</v>
      </c>
      <c r="N100" s="35"/>
      <c r="O100" s="35"/>
      <c r="P100" s="35"/>
      <c r="Q100" s="35"/>
      <c r="R100" s="35">
        <v>10828.86</v>
      </c>
      <c r="S100" s="35">
        <v>2787</v>
      </c>
      <c r="T100" s="35">
        <v>15446.19</v>
      </c>
      <c r="U100" s="35">
        <v>9957</v>
      </c>
      <c r="V100" s="35">
        <v>562.10500000000002</v>
      </c>
      <c r="W100" s="36">
        <v>1931.2</v>
      </c>
      <c r="X100" s="35"/>
      <c r="Y100" s="35"/>
      <c r="Z100" s="35"/>
      <c r="AA100" s="8"/>
    </row>
    <row r="101" spans="2:27" s="7" customFormat="1" ht="15.75" hidden="1" customHeight="1" x14ac:dyDescent="0.25">
      <c r="B101" s="12" t="s">
        <v>334</v>
      </c>
      <c r="C101" s="33">
        <v>476923.8</v>
      </c>
      <c r="D101" s="35">
        <f t="shared" si="1"/>
        <v>4361.3599999999997</v>
      </c>
      <c r="E101" s="35"/>
      <c r="F101" s="35"/>
      <c r="G101" s="35"/>
      <c r="H101" s="35"/>
      <c r="I101" s="35"/>
      <c r="J101" s="35"/>
      <c r="K101" s="35">
        <v>1574.84</v>
      </c>
      <c r="L101" s="35"/>
      <c r="M101" s="35"/>
      <c r="N101" s="35"/>
      <c r="O101" s="35"/>
      <c r="P101" s="35"/>
      <c r="Q101" s="35"/>
      <c r="R101" s="35">
        <v>2719.52</v>
      </c>
      <c r="S101" s="35"/>
      <c r="T101" s="35"/>
      <c r="U101" s="35">
        <v>67</v>
      </c>
      <c r="V101" s="35"/>
      <c r="W101" s="36"/>
      <c r="X101" s="35"/>
      <c r="Y101" s="35"/>
      <c r="Z101" s="35"/>
      <c r="AA101" s="8"/>
    </row>
    <row r="102" spans="2:27" s="7" customFormat="1" ht="15.75" hidden="1" customHeight="1" x14ac:dyDescent="0.25">
      <c r="B102" s="12" t="s">
        <v>333</v>
      </c>
      <c r="C102" s="33">
        <v>211904.84</v>
      </c>
      <c r="D102" s="35">
        <f t="shared" si="1"/>
        <v>17152.289999999997</v>
      </c>
      <c r="E102" s="35">
        <v>7675</v>
      </c>
      <c r="F102" s="35"/>
      <c r="G102" s="35"/>
      <c r="H102" s="35"/>
      <c r="I102" s="35"/>
      <c r="J102" s="35"/>
      <c r="K102" s="35">
        <f>88.46+2279.39+4823</f>
        <v>7190.85</v>
      </c>
      <c r="L102" s="35"/>
      <c r="M102" s="35">
        <v>1795</v>
      </c>
      <c r="N102" s="35"/>
      <c r="O102" s="35"/>
      <c r="P102" s="35"/>
      <c r="Q102" s="35"/>
      <c r="R102" s="35"/>
      <c r="S102" s="35"/>
      <c r="T102" s="35"/>
      <c r="U102" s="35">
        <v>491.44</v>
      </c>
      <c r="V102" s="35"/>
      <c r="W102" s="36"/>
      <c r="X102" s="35"/>
      <c r="Y102" s="35"/>
      <c r="Z102" s="35"/>
      <c r="AA102" s="8"/>
    </row>
    <row r="103" spans="2:27" s="7" customFormat="1" ht="15.75" hidden="1" customHeight="1" x14ac:dyDescent="0.25">
      <c r="B103" s="12" t="s">
        <v>332</v>
      </c>
      <c r="C103" s="33">
        <v>145363</v>
      </c>
      <c r="D103" s="35">
        <f t="shared" si="1"/>
        <v>221765</v>
      </c>
      <c r="E103" s="35"/>
      <c r="F103" s="35"/>
      <c r="G103" s="35">
        <v>204426</v>
      </c>
      <c r="H103" s="35"/>
      <c r="I103" s="35"/>
      <c r="J103" s="35"/>
      <c r="K103" s="35">
        <v>4383</v>
      </c>
      <c r="L103" s="35"/>
      <c r="M103" s="35">
        <v>1795</v>
      </c>
      <c r="N103" s="35"/>
      <c r="O103" s="35"/>
      <c r="P103" s="35"/>
      <c r="Q103" s="35"/>
      <c r="R103" s="35"/>
      <c r="S103" s="35"/>
      <c r="T103" s="35">
        <v>11161</v>
      </c>
      <c r="U103" s="35"/>
      <c r="V103" s="35"/>
      <c r="W103" s="36"/>
      <c r="X103" s="35"/>
      <c r="Y103" s="35"/>
      <c r="Z103" s="35"/>
      <c r="AA103" s="8"/>
    </row>
    <row r="104" spans="2:27" s="7" customFormat="1" ht="15" hidden="1" customHeight="1" x14ac:dyDescent="0.25">
      <c r="B104" s="12" t="s">
        <v>331</v>
      </c>
      <c r="C104" s="33">
        <v>146189.04</v>
      </c>
      <c r="D104" s="35">
        <f t="shared" si="1"/>
        <v>1219</v>
      </c>
      <c r="E104" s="35"/>
      <c r="F104" s="35"/>
      <c r="G104" s="35"/>
      <c r="H104" s="35"/>
      <c r="I104" s="35"/>
      <c r="J104" s="35"/>
      <c r="K104" s="35">
        <v>1219</v>
      </c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6"/>
      <c r="X104" s="35"/>
      <c r="Y104" s="35"/>
      <c r="Z104" s="35"/>
      <c r="AA104" s="8"/>
    </row>
    <row r="105" spans="2:27" s="7" customFormat="1" ht="15" hidden="1" customHeight="1" x14ac:dyDescent="0.25">
      <c r="B105" s="12" t="s">
        <v>330</v>
      </c>
      <c r="C105" s="33">
        <v>135418.49</v>
      </c>
      <c r="D105" s="35">
        <f t="shared" si="1"/>
        <v>209787.49</v>
      </c>
      <c r="E105" s="35"/>
      <c r="F105" s="35"/>
      <c r="G105" s="35">
        <v>193694</v>
      </c>
      <c r="H105" s="35"/>
      <c r="I105" s="35"/>
      <c r="J105" s="35"/>
      <c r="K105" s="35">
        <f>7387.57+1408.92</f>
        <v>8796.49</v>
      </c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>
        <v>7297</v>
      </c>
      <c r="W105" s="36"/>
      <c r="X105" s="35"/>
      <c r="Y105" s="35"/>
      <c r="Z105" s="35"/>
      <c r="AA105" s="8"/>
    </row>
    <row r="106" spans="2:27" s="7" customFormat="1" ht="15" hidden="1" customHeight="1" x14ac:dyDescent="0.25">
      <c r="B106" s="12" t="s">
        <v>329</v>
      </c>
      <c r="C106" s="33">
        <v>139058.75</v>
      </c>
      <c r="D106" s="35">
        <f t="shared" si="1"/>
        <v>9459.14</v>
      </c>
      <c r="E106" s="35"/>
      <c r="F106" s="35"/>
      <c r="G106" s="35"/>
      <c r="H106" s="35"/>
      <c r="I106" s="35"/>
      <c r="J106" s="35"/>
      <c r="K106" s="35">
        <f>734+6930.14</f>
        <v>7664.14</v>
      </c>
      <c r="L106" s="35"/>
      <c r="M106" s="35">
        <v>1795</v>
      </c>
      <c r="N106" s="35"/>
      <c r="O106" s="35"/>
      <c r="P106" s="35"/>
      <c r="Q106" s="35"/>
      <c r="R106" s="35"/>
      <c r="S106" s="35"/>
      <c r="T106" s="35"/>
      <c r="U106" s="35"/>
      <c r="V106" s="35"/>
      <c r="W106" s="36"/>
      <c r="X106" s="35"/>
      <c r="Y106" s="35"/>
      <c r="Z106" s="35"/>
      <c r="AA106" s="8"/>
    </row>
    <row r="107" spans="2:27" s="7" customFormat="1" ht="15.75" hidden="1" customHeight="1" x14ac:dyDescent="0.25">
      <c r="B107" s="12" t="s">
        <v>328</v>
      </c>
      <c r="C107" s="33">
        <v>151339.18</v>
      </c>
      <c r="D107" s="35">
        <f t="shared" si="1"/>
        <v>50110.381399999998</v>
      </c>
      <c r="E107" s="35">
        <v>6498.0594000000001</v>
      </c>
      <c r="F107" s="35"/>
      <c r="G107" s="35"/>
      <c r="H107" s="35"/>
      <c r="I107" s="35"/>
      <c r="J107" s="35"/>
      <c r="K107" s="35">
        <f>6485+632.822+2579</f>
        <v>9696.8220000000001</v>
      </c>
      <c r="L107" s="35">
        <v>611</v>
      </c>
      <c r="M107" s="35">
        <v>24744.2</v>
      </c>
      <c r="N107" s="35"/>
      <c r="O107" s="35"/>
      <c r="P107" s="35"/>
      <c r="Q107" s="35"/>
      <c r="R107" s="35"/>
      <c r="S107" s="35"/>
      <c r="T107" s="35"/>
      <c r="U107" s="35"/>
      <c r="V107" s="35">
        <v>6613.9</v>
      </c>
      <c r="W107" s="36">
        <f>865.52+1080.88</f>
        <v>1946.4</v>
      </c>
      <c r="X107" s="35"/>
      <c r="Y107" s="35"/>
      <c r="Z107" s="35"/>
      <c r="AA107" s="8"/>
    </row>
    <row r="108" spans="2:27" s="7" customFormat="1" ht="18.75" hidden="1" customHeight="1" x14ac:dyDescent="0.25">
      <c r="B108" s="12" t="s">
        <v>324</v>
      </c>
      <c r="C108" s="33">
        <v>97732.09</v>
      </c>
      <c r="D108" s="35">
        <f t="shared" si="1"/>
        <v>50302.879999999997</v>
      </c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>
        <v>50302.879999999997</v>
      </c>
      <c r="U108" s="35"/>
      <c r="V108" s="35"/>
      <c r="W108" s="36"/>
      <c r="X108" s="35"/>
      <c r="Y108" s="35"/>
      <c r="Z108" s="35"/>
      <c r="AA108" s="8"/>
    </row>
    <row r="109" spans="2:27" s="7" customFormat="1" ht="15.75" hidden="1" customHeight="1" x14ac:dyDescent="0.25">
      <c r="B109" s="12" t="s">
        <v>323</v>
      </c>
      <c r="C109" s="33">
        <v>427982.16</v>
      </c>
      <c r="D109" s="35">
        <f t="shared" si="1"/>
        <v>308382.46000000002</v>
      </c>
      <c r="E109" s="35"/>
      <c r="F109" s="35"/>
      <c r="G109" s="35"/>
      <c r="H109" s="35"/>
      <c r="I109" s="35">
        <v>248253</v>
      </c>
      <c r="J109" s="35"/>
      <c r="K109" s="35">
        <v>7890.88</v>
      </c>
      <c r="L109" s="35">
        <v>301</v>
      </c>
      <c r="M109" s="35">
        <v>10357.74</v>
      </c>
      <c r="N109" s="35"/>
      <c r="O109" s="35">
        <v>925.12</v>
      </c>
      <c r="P109" s="35"/>
      <c r="Q109" s="35">
        <v>8080.64</v>
      </c>
      <c r="R109" s="35">
        <v>15622.2</v>
      </c>
      <c r="S109" s="35"/>
      <c r="T109" s="35"/>
      <c r="U109" s="35">
        <v>9097.7999999999993</v>
      </c>
      <c r="V109" s="35">
        <v>7854.08</v>
      </c>
      <c r="W109" s="36"/>
      <c r="X109" s="35"/>
      <c r="Y109" s="35"/>
      <c r="Z109" s="35"/>
      <c r="AA109" s="8"/>
    </row>
    <row r="110" spans="2:27" s="7" customFormat="1" ht="15.75" hidden="1" customHeight="1" x14ac:dyDescent="0.25">
      <c r="B110" s="13" t="s">
        <v>322</v>
      </c>
      <c r="C110" s="33">
        <v>444847.32</v>
      </c>
      <c r="D110" s="35">
        <f t="shared" si="1"/>
        <v>26406.05</v>
      </c>
      <c r="E110" s="35"/>
      <c r="F110" s="35"/>
      <c r="G110" s="35"/>
      <c r="H110" s="35"/>
      <c r="I110" s="35"/>
      <c r="J110" s="35"/>
      <c r="K110" s="35">
        <v>3082</v>
      </c>
      <c r="L110" s="35"/>
      <c r="M110" s="35"/>
      <c r="N110" s="35"/>
      <c r="O110" s="35"/>
      <c r="P110" s="35">
        <v>3257</v>
      </c>
      <c r="Q110" s="35"/>
      <c r="R110" s="35">
        <f>9887.28+3954</f>
        <v>13841.28</v>
      </c>
      <c r="S110" s="35"/>
      <c r="T110" s="35"/>
      <c r="U110" s="35"/>
      <c r="V110" s="35"/>
      <c r="W110" s="36">
        <f>432.77+5793</f>
        <v>6225.77</v>
      </c>
      <c r="X110" s="35"/>
      <c r="Y110" s="35"/>
      <c r="Z110" s="35"/>
      <c r="AA110" s="8"/>
    </row>
    <row r="111" spans="2:27" s="7" customFormat="1" ht="15.75" hidden="1" customHeight="1" x14ac:dyDescent="0.25">
      <c r="B111" s="13" t="s">
        <v>321</v>
      </c>
      <c r="C111" s="33">
        <v>374589.48</v>
      </c>
      <c r="D111" s="35">
        <f t="shared" si="1"/>
        <v>67151.34</v>
      </c>
      <c r="E111" s="35"/>
      <c r="F111" s="35"/>
      <c r="G111" s="35"/>
      <c r="H111" s="35"/>
      <c r="I111" s="35"/>
      <c r="J111" s="35"/>
      <c r="K111" s="35">
        <v>18076.2</v>
      </c>
      <c r="L111" s="35"/>
      <c r="M111" s="35"/>
      <c r="N111" s="35"/>
      <c r="O111" s="35">
        <v>16121.16</v>
      </c>
      <c r="P111" s="35">
        <v>19069.98</v>
      </c>
      <c r="Q111" s="35"/>
      <c r="R111" s="35"/>
      <c r="S111" s="35"/>
      <c r="T111" s="35"/>
      <c r="U111" s="35">
        <v>13884</v>
      </c>
      <c r="V111" s="35"/>
      <c r="W111" s="36"/>
      <c r="X111" s="35"/>
      <c r="Y111" s="35"/>
      <c r="Z111" s="35"/>
      <c r="AA111" s="8"/>
    </row>
    <row r="112" spans="2:27" s="7" customFormat="1" ht="15.75" hidden="1" customHeight="1" x14ac:dyDescent="0.25">
      <c r="B112" s="13" t="s">
        <v>320</v>
      </c>
      <c r="C112" s="33">
        <v>6506.28</v>
      </c>
      <c r="D112" s="35">
        <f t="shared" si="1"/>
        <v>6062.77</v>
      </c>
      <c r="E112" s="35"/>
      <c r="F112" s="35"/>
      <c r="G112" s="35"/>
      <c r="H112" s="35"/>
      <c r="I112" s="35"/>
      <c r="J112" s="35"/>
      <c r="K112" s="35"/>
      <c r="L112" s="35"/>
      <c r="M112" s="35">
        <v>4751</v>
      </c>
      <c r="N112" s="35"/>
      <c r="O112" s="35"/>
      <c r="P112" s="35"/>
      <c r="Q112" s="35"/>
      <c r="R112" s="35"/>
      <c r="S112" s="35"/>
      <c r="T112" s="35"/>
      <c r="U112" s="35"/>
      <c r="V112" s="35"/>
      <c r="W112" s="36">
        <f>432.77+879</f>
        <v>1311.77</v>
      </c>
      <c r="X112" s="35"/>
      <c r="Y112" s="35"/>
      <c r="Z112" s="35"/>
      <c r="AA112" s="8"/>
    </row>
    <row r="113" spans="2:27" s="7" customFormat="1" ht="15.75" hidden="1" customHeight="1" x14ac:dyDescent="0.25">
      <c r="B113" s="13" t="s">
        <v>319</v>
      </c>
      <c r="C113" s="33">
        <v>74816.399999999994</v>
      </c>
      <c r="D113" s="35">
        <f t="shared" si="1"/>
        <v>16821.940000000002</v>
      </c>
      <c r="E113" s="35"/>
      <c r="F113" s="35"/>
      <c r="G113" s="35"/>
      <c r="H113" s="35"/>
      <c r="I113" s="35"/>
      <c r="J113" s="35"/>
      <c r="K113" s="35">
        <f>1936.67+3247</f>
        <v>5183.67</v>
      </c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6">
        <f>10759.27+879</f>
        <v>11638.27</v>
      </c>
      <c r="X113" s="35"/>
      <c r="Y113" s="35"/>
      <c r="Z113" s="35"/>
      <c r="AA113" s="8"/>
    </row>
    <row r="114" spans="2:27" s="7" customFormat="1" ht="15.75" hidden="1" customHeight="1" x14ac:dyDescent="0.25">
      <c r="B114" s="13" t="s">
        <v>318</v>
      </c>
      <c r="C114" s="33">
        <v>100621.92</v>
      </c>
      <c r="D114" s="35">
        <f t="shared" si="1"/>
        <v>14718.82</v>
      </c>
      <c r="E114" s="35"/>
      <c r="F114" s="35"/>
      <c r="G114" s="35"/>
      <c r="H114" s="35">
        <v>4132.3599999999997</v>
      </c>
      <c r="I114" s="35"/>
      <c r="J114" s="35"/>
      <c r="K114" s="35">
        <f>1138.59+1608.34</f>
        <v>2746.93</v>
      </c>
      <c r="L114" s="35"/>
      <c r="M114" s="35">
        <v>6527.76</v>
      </c>
      <c r="N114" s="35"/>
      <c r="O114" s="35"/>
      <c r="P114" s="35"/>
      <c r="Q114" s="35"/>
      <c r="R114" s="35"/>
      <c r="S114" s="35"/>
      <c r="T114" s="35"/>
      <c r="U114" s="35"/>
      <c r="V114" s="35"/>
      <c r="W114" s="36">
        <f>432.77+879</f>
        <v>1311.77</v>
      </c>
      <c r="X114" s="35"/>
      <c r="Y114" s="35"/>
      <c r="Z114" s="35"/>
      <c r="AA114" s="8"/>
    </row>
    <row r="115" spans="2:27" s="7" customFormat="1" ht="15.75" hidden="1" customHeight="1" x14ac:dyDescent="0.25">
      <c r="B115" s="13" t="s">
        <v>317</v>
      </c>
      <c r="C115" s="33">
        <v>202059.24</v>
      </c>
      <c r="D115" s="35">
        <f t="shared" si="1"/>
        <v>132178.77499999999</v>
      </c>
      <c r="E115" s="35"/>
      <c r="F115" s="35"/>
      <c r="G115" s="35"/>
      <c r="H115" s="35"/>
      <c r="I115" s="35"/>
      <c r="J115" s="35"/>
      <c r="K115" s="35"/>
      <c r="L115" s="35"/>
      <c r="M115" s="35">
        <v>3181</v>
      </c>
      <c r="N115" s="35"/>
      <c r="O115" s="35"/>
      <c r="P115" s="35">
        <v>5575.0349999999999</v>
      </c>
      <c r="Q115" s="35"/>
      <c r="R115" s="35">
        <v>9453</v>
      </c>
      <c r="S115" s="35"/>
      <c r="T115" s="35">
        <v>111982</v>
      </c>
      <c r="U115" s="35"/>
      <c r="V115" s="35"/>
      <c r="W115" s="36">
        <f>1108.74+879</f>
        <v>1987.74</v>
      </c>
      <c r="X115" s="35"/>
      <c r="Y115" s="35"/>
      <c r="Z115" s="35"/>
      <c r="AA115" s="8"/>
    </row>
    <row r="116" spans="2:27" s="7" customFormat="1" ht="15.75" hidden="1" customHeight="1" x14ac:dyDescent="0.25">
      <c r="B116" s="13" t="s">
        <v>316</v>
      </c>
      <c r="C116" s="33">
        <v>169891.44</v>
      </c>
      <c r="D116" s="35">
        <f t="shared" si="1"/>
        <v>16621.02</v>
      </c>
      <c r="E116" s="35"/>
      <c r="F116" s="35"/>
      <c r="G116" s="35"/>
      <c r="H116" s="35"/>
      <c r="I116" s="35"/>
      <c r="J116" s="35"/>
      <c r="K116" s="35">
        <v>13044.41</v>
      </c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6">
        <f>939.61+2637</f>
        <v>3576.61</v>
      </c>
      <c r="X116" s="35"/>
      <c r="Y116" s="35"/>
      <c r="Z116" s="35"/>
      <c r="AA116" s="8"/>
    </row>
    <row r="117" spans="2:27" s="7" customFormat="1" ht="15.75" hidden="1" customHeight="1" x14ac:dyDescent="0.25">
      <c r="B117" s="13" t="s">
        <v>315</v>
      </c>
      <c r="C117" s="33">
        <v>64800.36</v>
      </c>
      <c r="D117" s="35">
        <f t="shared" si="1"/>
        <v>9272.26</v>
      </c>
      <c r="E117" s="35"/>
      <c r="F117" s="35"/>
      <c r="G117" s="35"/>
      <c r="H117" s="35"/>
      <c r="I117" s="35"/>
      <c r="J117" s="35"/>
      <c r="K117" s="35">
        <v>9272.26</v>
      </c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6"/>
      <c r="X117" s="35"/>
      <c r="Y117" s="35"/>
      <c r="Z117" s="35"/>
      <c r="AA117" s="8"/>
    </row>
    <row r="118" spans="2:27" s="7" customFormat="1" ht="15.75" hidden="1" customHeight="1" x14ac:dyDescent="0.25">
      <c r="B118" s="13" t="s">
        <v>314</v>
      </c>
      <c r="C118" s="33">
        <v>156210.35999999999</v>
      </c>
      <c r="D118" s="35">
        <f t="shared" si="1"/>
        <v>213279.99000000002</v>
      </c>
      <c r="E118" s="35"/>
      <c r="F118" s="35"/>
      <c r="G118" s="35"/>
      <c r="H118" s="35"/>
      <c r="I118" s="35">
        <v>161654</v>
      </c>
      <c r="J118" s="35"/>
      <c r="K118" s="35">
        <f>1601.41+3750.04</f>
        <v>5351.45</v>
      </c>
      <c r="L118" s="35"/>
      <c r="M118" s="35"/>
      <c r="N118" s="35"/>
      <c r="O118" s="35"/>
      <c r="P118" s="35">
        <v>32884.58</v>
      </c>
      <c r="Q118" s="35"/>
      <c r="R118" s="35"/>
      <c r="S118" s="35"/>
      <c r="T118" s="35">
        <v>11082.22</v>
      </c>
      <c r="U118" s="35"/>
      <c r="V118" s="35"/>
      <c r="W118" s="36">
        <f>1108.74+1199</f>
        <v>2307.7399999999998</v>
      </c>
      <c r="X118" s="35"/>
      <c r="Y118" s="35"/>
      <c r="Z118" s="35"/>
      <c r="AA118" s="8"/>
    </row>
    <row r="119" spans="2:27" s="7" customFormat="1" ht="15.75" hidden="1" customHeight="1" x14ac:dyDescent="0.25">
      <c r="B119" s="13" t="s">
        <v>313</v>
      </c>
      <c r="C119" s="33">
        <v>207536.28</v>
      </c>
      <c r="D119" s="35">
        <f t="shared" si="1"/>
        <v>37790.719999999994</v>
      </c>
      <c r="E119" s="35"/>
      <c r="F119" s="35"/>
      <c r="G119" s="35"/>
      <c r="H119" s="35"/>
      <c r="I119" s="35"/>
      <c r="J119" s="35"/>
      <c r="K119" s="35">
        <f>7929.91+4003.53+993.56</f>
        <v>12927</v>
      </c>
      <c r="L119" s="35">
        <v>14669.8</v>
      </c>
      <c r="M119" s="35">
        <v>1861</v>
      </c>
      <c r="N119" s="35"/>
      <c r="O119" s="35">
        <v>945.18</v>
      </c>
      <c r="P119" s="35"/>
      <c r="Q119" s="35"/>
      <c r="R119" s="35"/>
      <c r="S119" s="35"/>
      <c r="T119" s="35"/>
      <c r="U119" s="35"/>
      <c r="V119" s="35">
        <v>5401</v>
      </c>
      <c r="W119" s="36">
        <f>1108.74+878</f>
        <v>1986.74</v>
      </c>
      <c r="X119" s="35"/>
      <c r="Y119" s="35"/>
      <c r="Z119" s="35"/>
      <c r="AA119" s="8"/>
    </row>
    <row r="120" spans="2:27" s="7" customFormat="1" ht="15.75" hidden="1" customHeight="1" x14ac:dyDescent="0.25">
      <c r="B120" s="13" t="s">
        <v>312</v>
      </c>
      <c r="C120" s="33">
        <v>561116.4</v>
      </c>
      <c r="D120" s="35">
        <f t="shared" si="1"/>
        <v>28274.386000000002</v>
      </c>
      <c r="E120" s="35"/>
      <c r="F120" s="35"/>
      <c r="G120" s="35"/>
      <c r="H120" s="35">
        <f>9554.81+1997</f>
        <v>11551.81</v>
      </c>
      <c r="I120" s="35"/>
      <c r="J120" s="35"/>
      <c r="K120" s="35">
        <f>3637.87+4160.68</f>
        <v>7798.55</v>
      </c>
      <c r="L120" s="35">
        <f>62.38+752.946</f>
        <v>815.32600000000002</v>
      </c>
      <c r="M120" s="35"/>
      <c r="N120" s="35">
        <v>62.327599999999997</v>
      </c>
      <c r="O120" s="35"/>
      <c r="P120" s="35"/>
      <c r="Q120" s="35"/>
      <c r="R120" s="35">
        <v>3986</v>
      </c>
      <c r="S120" s="35"/>
      <c r="T120" s="35"/>
      <c r="U120" s="35">
        <v>1010.48</v>
      </c>
      <c r="V120" s="35">
        <v>1124.48</v>
      </c>
      <c r="W120" s="36">
        <f>1108.74+879</f>
        <v>1987.74</v>
      </c>
      <c r="X120" s="35"/>
      <c r="Y120" s="35"/>
      <c r="Z120" s="35"/>
      <c r="AA120" s="8"/>
    </row>
    <row r="121" spans="2:27" s="7" customFormat="1" ht="15.75" hidden="1" customHeight="1" x14ac:dyDescent="0.25">
      <c r="B121" s="13" t="s">
        <v>311</v>
      </c>
      <c r="C121" s="33">
        <v>134776.32000000001</v>
      </c>
      <c r="D121" s="35">
        <f t="shared" si="1"/>
        <v>25467.280000000002</v>
      </c>
      <c r="E121" s="35"/>
      <c r="F121" s="35"/>
      <c r="G121" s="35"/>
      <c r="H121" s="35">
        <v>95</v>
      </c>
      <c r="I121" s="35"/>
      <c r="J121" s="35"/>
      <c r="K121" s="35">
        <f>1130.51+1985.94</f>
        <v>3116.45</v>
      </c>
      <c r="L121" s="35">
        <v>1181</v>
      </c>
      <c r="M121" s="35"/>
      <c r="N121" s="35"/>
      <c r="O121" s="35">
        <v>1849.06</v>
      </c>
      <c r="P121" s="35"/>
      <c r="Q121" s="35"/>
      <c r="R121" s="35">
        <v>18793</v>
      </c>
      <c r="S121" s="35"/>
      <c r="T121" s="35"/>
      <c r="U121" s="35"/>
      <c r="V121" s="35"/>
      <c r="W121" s="36">
        <v>432.77</v>
      </c>
      <c r="X121" s="35"/>
      <c r="Y121" s="35"/>
      <c r="Z121" s="35"/>
      <c r="AA121" s="8"/>
    </row>
    <row r="122" spans="2:27" s="7" customFormat="1" ht="15.75" hidden="1" customHeight="1" x14ac:dyDescent="0.25">
      <c r="B122" s="13" t="s">
        <v>310</v>
      </c>
      <c r="C122" s="33">
        <v>113008.08</v>
      </c>
      <c r="D122" s="35">
        <f t="shared" si="1"/>
        <v>26423.221000000001</v>
      </c>
      <c r="E122" s="35"/>
      <c r="F122" s="35"/>
      <c r="G122" s="35"/>
      <c r="H122" s="35"/>
      <c r="I122" s="35"/>
      <c r="J122" s="35"/>
      <c r="K122" s="35">
        <f>2364.73+4116</f>
        <v>6480.73</v>
      </c>
      <c r="L122" s="35"/>
      <c r="M122" s="35"/>
      <c r="N122" s="35">
        <f>62.33+62.3276</f>
        <v>124.6576</v>
      </c>
      <c r="O122" s="35"/>
      <c r="P122" s="35"/>
      <c r="Q122" s="35"/>
      <c r="R122" s="40">
        <f>10064.86+9403</f>
        <v>19467.86</v>
      </c>
      <c r="S122" s="35"/>
      <c r="T122" s="35">
        <v>474.63099999999997</v>
      </c>
      <c r="U122" s="35"/>
      <c r="V122" s="35"/>
      <c r="W122" s="36"/>
      <c r="X122" s="35"/>
      <c r="Y122" s="35"/>
      <c r="Z122" s="35"/>
      <c r="AA122" s="8"/>
    </row>
    <row r="123" spans="2:27" s="7" customFormat="1" ht="15.75" hidden="1" customHeight="1" x14ac:dyDescent="0.25">
      <c r="B123" s="13" t="s">
        <v>309</v>
      </c>
      <c r="C123" s="33">
        <v>284382</v>
      </c>
      <c r="D123" s="35">
        <f t="shared" si="1"/>
        <v>143685.62900000002</v>
      </c>
      <c r="E123" s="35">
        <v>26847.360000000001</v>
      </c>
      <c r="F123" s="35"/>
      <c r="G123" s="35"/>
      <c r="H123" s="35">
        <v>3184.94</v>
      </c>
      <c r="I123" s="35"/>
      <c r="J123" s="35"/>
      <c r="K123" s="35">
        <v>7851.72</v>
      </c>
      <c r="L123" s="35">
        <f>697.9+376.479</f>
        <v>1074.3789999999999</v>
      </c>
      <c r="M123" s="35">
        <v>29734</v>
      </c>
      <c r="N123" s="35"/>
      <c r="O123" s="35"/>
      <c r="P123" s="35">
        <v>4840.3599999999997</v>
      </c>
      <c r="Q123" s="35"/>
      <c r="R123" s="35">
        <v>2811.44</v>
      </c>
      <c r="S123" s="35"/>
      <c r="T123" s="35"/>
      <c r="U123" s="35">
        <v>66016</v>
      </c>
      <c r="V123" s="35"/>
      <c r="W123" s="36">
        <f>410.43+915</f>
        <v>1325.43</v>
      </c>
      <c r="X123" s="35"/>
      <c r="Y123" s="35"/>
      <c r="Z123" s="35"/>
      <c r="AA123" s="8"/>
    </row>
    <row r="124" spans="2:27" s="7" customFormat="1" ht="15.75" hidden="1" customHeight="1" x14ac:dyDescent="0.25">
      <c r="B124" s="13" t="s">
        <v>308</v>
      </c>
      <c r="C124" s="33">
        <v>51923.64</v>
      </c>
      <c r="D124" s="35">
        <f t="shared" si="1"/>
        <v>53571.341</v>
      </c>
      <c r="E124" s="35"/>
      <c r="F124" s="35"/>
      <c r="G124" s="35"/>
      <c r="H124" s="35"/>
      <c r="I124" s="35"/>
      <c r="J124" s="35"/>
      <c r="K124" s="35">
        <f>765.631+4681</f>
        <v>5446.6310000000003</v>
      </c>
      <c r="L124" s="35"/>
      <c r="M124" s="35"/>
      <c r="N124" s="35"/>
      <c r="O124" s="35"/>
      <c r="P124" s="35"/>
      <c r="Q124" s="35"/>
      <c r="R124" s="35">
        <v>41963.21</v>
      </c>
      <c r="S124" s="35"/>
      <c r="T124" s="35">
        <v>3293.76</v>
      </c>
      <c r="U124" s="35"/>
      <c r="V124" s="35"/>
      <c r="W124" s="36">
        <f>1108.74+1759</f>
        <v>2867.74</v>
      </c>
      <c r="X124" s="35"/>
      <c r="Y124" s="35"/>
      <c r="Z124" s="35"/>
      <c r="AA124" s="8"/>
    </row>
    <row r="125" spans="2:27" s="7" customFormat="1" ht="15.75" hidden="1" customHeight="1" x14ac:dyDescent="0.25">
      <c r="B125" s="12" t="s">
        <v>307</v>
      </c>
      <c r="C125" s="33">
        <v>87477.66</v>
      </c>
      <c r="D125" s="35">
        <f t="shared" si="1"/>
        <v>367</v>
      </c>
      <c r="E125" s="35"/>
      <c r="F125" s="35"/>
      <c r="G125" s="35"/>
      <c r="H125" s="35"/>
      <c r="I125" s="35"/>
      <c r="J125" s="35"/>
      <c r="K125" s="35"/>
      <c r="L125" s="35">
        <v>367</v>
      </c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6"/>
      <c r="X125" s="35"/>
      <c r="Y125" s="35"/>
      <c r="Z125" s="35"/>
      <c r="AA125" s="8"/>
    </row>
    <row r="126" spans="2:27" s="7" customFormat="1" ht="15.75" hidden="1" customHeight="1" x14ac:dyDescent="0.25">
      <c r="B126" s="13" t="s">
        <v>306</v>
      </c>
      <c r="C126" s="33">
        <v>416316.72</v>
      </c>
      <c r="D126" s="35">
        <f t="shared" si="1"/>
        <v>157019.76999999999</v>
      </c>
      <c r="E126" s="35"/>
      <c r="F126" s="35"/>
      <c r="G126" s="35"/>
      <c r="H126" s="35">
        <v>5783</v>
      </c>
      <c r="I126" s="35">
        <v>122741</v>
      </c>
      <c r="J126" s="35"/>
      <c r="K126" s="35">
        <f>3334.77+2144</f>
        <v>5478.77</v>
      </c>
      <c r="L126" s="35">
        <v>8209</v>
      </c>
      <c r="M126" s="35">
        <v>14808</v>
      </c>
      <c r="N126" s="35"/>
      <c r="O126" s="35"/>
      <c r="P126" s="35"/>
      <c r="Q126" s="35"/>
      <c r="R126" s="35"/>
      <c r="S126" s="35"/>
      <c r="T126" s="35"/>
      <c r="U126" s="35"/>
      <c r="V126" s="35"/>
      <c r="W126" s="36"/>
      <c r="X126" s="35"/>
      <c r="Y126" s="35"/>
      <c r="Z126" s="35"/>
      <c r="AA126" s="8"/>
    </row>
    <row r="127" spans="2:27" s="7" customFormat="1" ht="15.75" hidden="1" customHeight="1" x14ac:dyDescent="0.25">
      <c r="B127" s="12" t="s">
        <v>305</v>
      </c>
      <c r="C127" s="33">
        <v>46477</v>
      </c>
      <c r="D127" s="35">
        <f t="shared" si="1"/>
        <v>0</v>
      </c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6"/>
      <c r="X127" s="35"/>
      <c r="Y127" s="35"/>
      <c r="Z127" s="35"/>
      <c r="AA127" s="8"/>
    </row>
    <row r="128" spans="2:27" s="7" customFormat="1" ht="15.75" hidden="1" customHeight="1" x14ac:dyDescent="0.25">
      <c r="B128" s="12" t="s">
        <v>304</v>
      </c>
      <c r="C128" s="33">
        <v>65137.39</v>
      </c>
      <c r="D128" s="35">
        <f t="shared" si="1"/>
        <v>23939.14</v>
      </c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>
        <v>3993</v>
      </c>
      <c r="U128" s="35">
        <v>5395.54</v>
      </c>
      <c r="V128" s="35">
        <v>7032.61</v>
      </c>
      <c r="W128" s="36">
        <v>7517.99</v>
      </c>
      <c r="X128" s="35"/>
      <c r="Y128" s="35"/>
      <c r="Z128" s="35"/>
      <c r="AA128" s="8"/>
    </row>
    <row r="129" spans="2:27" s="7" customFormat="1" ht="15.75" hidden="1" customHeight="1" x14ac:dyDescent="0.25">
      <c r="B129" s="13" t="s">
        <v>303</v>
      </c>
      <c r="C129" s="33">
        <v>27243.15</v>
      </c>
      <c r="D129" s="35">
        <f t="shared" si="1"/>
        <v>2274.88</v>
      </c>
      <c r="E129" s="35"/>
      <c r="F129" s="35"/>
      <c r="G129" s="35"/>
      <c r="H129" s="35"/>
      <c r="I129" s="35"/>
      <c r="J129" s="35"/>
      <c r="K129" s="35"/>
      <c r="L129" s="35">
        <v>368</v>
      </c>
      <c r="M129" s="35"/>
      <c r="N129" s="35"/>
      <c r="O129" s="35"/>
      <c r="P129" s="35"/>
      <c r="Q129" s="35"/>
      <c r="R129" s="35">
        <v>1561.14</v>
      </c>
      <c r="S129" s="35"/>
      <c r="T129" s="35">
        <v>345.74</v>
      </c>
      <c r="U129" s="35"/>
      <c r="V129" s="35"/>
      <c r="W129" s="36"/>
      <c r="X129" s="35"/>
      <c r="Y129" s="35"/>
      <c r="Z129" s="35"/>
      <c r="AA129" s="8"/>
    </row>
    <row r="130" spans="2:27" s="7" customFormat="1" ht="15.75" hidden="1" customHeight="1" x14ac:dyDescent="0.25">
      <c r="B130" s="12" t="s">
        <v>302</v>
      </c>
      <c r="C130" s="33">
        <v>124223.26</v>
      </c>
      <c r="D130" s="35">
        <f t="shared" si="1"/>
        <v>33049</v>
      </c>
      <c r="E130" s="35"/>
      <c r="F130" s="35"/>
      <c r="G130" s="35"/>
      <c r="H130" s="35"/>
      <c r="I130" s="35"/>
      <c r="J130" s="35"/>
      <c r="K130" s="35"/>
      <c r="L130" s="35"/>
      <c r="M130" s="35">
        <v>3615</v>
      </c>
      <c r="N130" s="35"/>
      <c r="O130" s="35"/>
      <c r="P130" s="35">
        <v>21548</v>
      </c>
      <c r="Q130" s="35"/>
      <c r="R130" s="35"/>
      <c r="S130" s="35"/>
      <c r="T130" s="35"/>
      <c r="U130" s="35"/>
      <c r="V130" s="35"/>
      <c r="W130" s="36"/>
      <c r="X130" s="35"/>
      <c r="Y130" s="35"/>
      <c r="Z130" s="35">
        <v>7886</v>
      </c>
      <c r="AA130" s="8"/>
    </row>
    <row r="131" spans="2:27" s="7" customFormat="1" ht="15.75" hidden="1" customHeight="1" x14ac:dyDescent="0.25">
      <c r="B131" s="13" t="s">
        <v>301</v>
      </c>
      <c r="C131" s="33">
        <v>141549.12</v>
      </c>
      <c r="D131" s="35">
        <f t="shared" si="1"/>
        <v>79016</v>
      </c>
      <c r="E131" s="35"/>
      <c r="F131" s="35"/>
      <c r="G131" s="35"/>
      <c r="H131" s="35"/>
      <c r="I131" s="35">
        <v>62016</v>
      </c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>
        <v>16450</v>
      </c>
      <c r="V131" s="35">
        <v>550</v>
      </c>
      <c r="W131" s="36"/>
      <c r="X131" s="35"/>
      <c r="Y131" s="35"/>
      <c r="Z131" s="35"/>
      <c r="AA131" s="8"/>
    </row>
    <row r="132" spans="2:27" s="7" customFormat="1" ht="15.75" hidden="1" customHeight="1" x14ac:dyDescent="0.25">
      <c r="B132" s="12" t="s">
        <v>386</v>
      </c>
      <c r="C132" s="33">
        <v>157276.22</v>
      </c>
      <c r="D132" s="35">
        <f t="shared" si="1"/>
        <v>3855</v>
      </c>
      <c r="E132" s="35"/>
      <c r="F132" s="35"/>
      <c r="G132" s="35"/>
      <c r="H132" s="35"/>
      <c r="I132" s="35"/>
      <c r="J132" s="35"/>
      <c r="K132" s="35">
        <v>761</v>
      </c>
      <c r="L132" s="35">
        <v>607</v>
      </c>
      <c r="M132" s="35"/>
      <c r="N132" s="35"/>
      <c r="O132" s="35"/>
      <c r="P132" s="35"/>
      <c r="Q132" s="35"/>
      <c r="R132" s="35">
        <v>2487</v>
      </c>
      <c r="S132" s="35"/>
      <c r="T132" s="35"/>
      <c r="U132" s="35"/>
      <c r="V132" s="35"/>
      <c r="W132" s="36"/>
      <c r="X132" s="35"/>
      <c r="Y132" s="35"/>
      <c r="Z132" s="35"/>
      <c r="AA132" s="8"/>
    </row>
    <row r="133" spans="2:27" s="7" customFormat="1" ht="15.75" hidden="1" customHeight="1" x14ac:dyDescent="0.25">
      <c r="B133" s="12" t="s">
        <v>387</v>
      </c>
      <c r="C133" s="33">
        <v>163821.32</v>
      </c>
      <c r="D133" s="35">
        <f t="shared" si="1"/>
        <v>2644</v>
      </c>
      <c r="E133" s="35"/>
      <c r="F133" s="35"/>
      <c r="G133" s="35"/>
      <c r="H133" s="35"/>
      <c r="I133" s="35"/>
      <c r="J133" s="35"/>
      <c r="K133" s="35">
        <v>2322</v>
      </c>
      <c r="L133" s="35">
        <v>322</v>
      </c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6"/>
      <c r="X133" s="35"/>
      <c r="Y133" s="35"/>
      <c r="Z133" s="35"/>
      <c r="AA133" s="8"/>
    </row>
    <row r="134" spans="2:27" s="7" customFormat="1" ht="15.75" hidden="1" customHeight="1" x14ac:dyDescent="0.25">
      <c r="B134" s="13" t="s">
        <v>388</v>
      </c>
      <c r="C134" s="33">
        <v>190562.88</v>
      </c>
      <c r="D134" s="35">
        <f t="shared" si="1"/>
        <v>10957.08</v>
      </c>
      <c r="E134" s="35"/>
      <c r="F134" s="35"/>
      <c r="G134" s="35"/>
      <c r="H134" s="35"/>
      <c r="I134" s="35"/>
      <c r="J134" s="35"/>
      <c r="K134" s="35">
        <v>1411.08</v>
      </c>
      <c r="L134" s="35"/>
      <c r="M134" s="35"/>
      <c r="N134" s="35"/>
      <c r="O134" s="35"/>
      <c r="P134" s="35"/>
      <c r="Q134" s="35"/>
      <c r="R134" s="35">
        <v>9546</v>
      </c>
      <c r="S134" s="35"/>
      <c r="T134" s="35"/>
      <c r="U134" s="35"/>
      <c r="V134" s="35"/>
      <c r="W134" s="36"/>
      <c r="X134" s="35"/>
      <c r="Y134" s="35"/>
      <c r="Z134" s="35"/>
      <c r="AA134" s="8"/>
    </row>
    <row r="135" spans="2:27" s="7" customFormat="1" ht="15.75" hidden="1" customHeight="1" x14ac:dyDescent="0.25">
      <c r="B135" s="13" t="s">
        <v>389</v>
      </c>
      <c r="C135" s="33">
        <v>111768.24</v>
      </c>
      <c r="D135" s="35">
        <f t="shared" si="1"/>
        <v>25982.3</v>
      </c>
      <c r="E135" s="35"/>
      <c r="F135" s="35"/>
      <c r="G135" s="35"/>
      <c r="H135" s="35"/>
      <c r="I135" s="35"/>
      <c r="J135" s="35"/>
      <c r="K135" s="35"/>
      <c r="L135" s="35"/>
      <c r="M135" s="35">
        <v>5975</v>
      </c>
      <c r="N135" s="35"/>
      <c r="O135" s="35"/>
      <c r="P135" s="35"/>
      <c r="Q135" s="35"/>
      <c r="R135" s="35">
        <v>2342.3000000000002</v>
      </c>
      <c r="S135" s="35"/>
      <c r="T135" s="35">
        <v>2310</v>
      </c>
      <c r="U135" s="35">
        <v>5653</v>
      </c>
      <c r="V135" s="35">
        <v>9702</v>
      </c>
      <c r="W135" s="36"/>
      <c r="X135" s="35"/>
      <c r="Y135" s="35"/>
      <c r="Z135" s="35"/>
      <c r="AA135" s="8"/>
    </row>
    <row r="136" spans="2:27" s="7" customFormat="1" ht="15.75" hidden="1" customHeight="1" x14ac:dyDescent="0.25">
      <c r="B136" s="13" t="s">
        <v>390</v>
      </c>
      <c r="C136" s="33">
        <v>301656.59999999998</v>
      </c>
      <c r="D136" s="35">
        <f t="shared" si="1"/>
        <v>74863.239999999991</v>
      </c>
      <c r="E136" s="35"/>
      <c r="F136" s="35"/>
      <c r="G136" s="35"/>
      <c r="H136" s="35"/>
      <c r="I136" s="35">
        <v>48417</v>
      </c>
      <c r="J136" s="35"/>
      <c r="K136" s="35">
        <f>1456.56+5544</f>
        <v>7000.5599999999995</v>
      </c>
      <c r="L136" s="35"/>
      <c r="M136" s="35"/>
      <c r="N136" s="35"/>
      <c r="O136" s="35"/>
      <c r="P136" s="35"/>
      <c r="Q136" s="35"/>
      <c r="R136" s="35">
        <v>19445.68</v>
      </c>
      <c r="S136" s="35"/>
      <c r="T136" s="35"/>
      <c r="U136" s="35"/>
      <c r="V136" s="35"/>
      <c r="W136" s="36"/>
      <c r="X136" s="35"/>
      <c r="Y136" s="35"/>
      <c r="Z136" s="35"/>
      <c r="AA136" s="8"/>
    </row>
    <row r="137" spans="2:27" s="7" customFormat="1" ht="15.75" hidden="1" customHeight="1" x14ac:dyDescent="0.25">
      <c r="B137" s="12" t="s">
        <v>285</v>
      </c>
      <c r="C137" s="33">
        <v>494588.88</v>
      </c>
      <c r="D137" s="35">
        <f t="shared" si="1"/>
        <v>20294.739999999998</v>
      </c>
      <c r="E137" s="35"/>
      <c r="F137" s="35"/>
      <c r="G137" s="35"/>
      <c r="H137" s="35"/>
      <c r="I137" s="35"/>
      <c r="J137" s="35"/>
      <c r="K137" s="35">
        <v>2484.23</v>
      </c>
      <c r="L137" s="35">
        <v>608</v>
      </c>
      <c r="M137" s="35"/>
      <c r="N137" s="35"/>
      <c r="O137" s="35"/>
      <c r="P137" s="35"/>
      <c r="Q137" s="35"/>
      <c r="R137" s="35"/>
      <c r="S137" s="35"/>
      <c r="T137" s="35"/>
      <c r="U137" s="35">
        <v>2843.21</v>
      </c>
      <c r="V137" s="35">
        <v>14359.3</v>
      </c>
      <c r="W137" s="36"/>
      <c r="X137" s="35"/>
      <c r="Y137" s="35"/>
      <c r="Z137" s="35"/>
      <c r="AA137" s="8"/>
    </row>
    <row r="138" spans="2:27" s="7" customFormat="1" ht="15.75" hidden="1" customHeight="1" x14ac:dyDescent="0.25">
      <c r="B138" s="13" t="s">
        <v>300</v>
      </c>
      <c r="C138" s="33">
        <v>205373.28</v>
      </c>
      <c r="D138" s="35">
        <f t="shared" si="1"/>
        <v>175125.89899999998</v>
      </c>
      <c r="E138" s="35"/>
      <c r="F138" s="35"/>
      <c r="G138" s="35"/>
      <c r="H138" s="35"/>
      <c r="I138" s="35">
        <v>150990</v>
      </c>
      <c r="J138" s="35"/>
      <c r="K138" s="35"/>
      <c r="L138" s="35">
        <f>367.479+367+304</f>
        <v>1038.479</v>
      </c>
      <c r="M138" s="35">
        <v>22758.42</v>
      </c>
      <c r="N138" s="35"/>
      <c r="O138" s="35"/>
      <c r="P138" s="35"/>
      <c r="Q138" s="35"/>
      <c r="R138" s="35"/>
      <c r="S138" s="35"/>
      <c r="T138" s="35"/>
      <c r="U138" s="35"/>
      <c r="V138" s="35"/>
      <c r="W138" s="36">
        <v>339</v>
      </c>
      <c r="X138" s="35"/>
      <c r="Y138" s="35"/>
      <c r="Z138" s="35"/>
      <c r="AA138" s="8"/>
    </row>
    <row r="139" spans="2:27" s="7" customFormat="1" ht="15.75" hidden="1" customHeight="1" x14ac:dyDescent="0.25">
      <c r="B139" s="13" t="s">
        <v>299</v>
      </c>
      <c r="C139" s="33">
        <v>189902.76</v>
      </c>
      <c r="D139" s="35">
        <f t="shared" si="1"/>
        <v>48611.983999999997</v>
      </c>
      <c r="E139" s="35"/>
      <c r="F139" s="35"/>
      <c r="G139" s="35"/>
      <c r="H139" s="35"/>
      <c r="I139" s="35"/>
      <c r="J139" s="35"/>
      <c r="K139" s="35">
        <v>5767</v>
      </c>
      <c r="L139" s="35"/>
      <c r="M139" s="35"/>
      <c r="N139" s="35"/>
      <c r="O139" s="35"/>
      <c r="P139" s="35"/>
      <c r="Q139" s="35"/>
      <c r="R139" s="35">
        <f>9008.014+29618</f>
        <v>38626.013999999996</v>
      </c>
      <c r="S139" s="35"/>
      <c r="T139" s="35">
        <f>1395.23+345.74</f>
        <v>1740.97</v>
      </c>
      <c r="U139" s="35"/>
      <c r="V139" s="35">
        <v>2478</v>
      </c>
      <c r="W139" s="36"/>
      <c r="X139" s="35"/>
      <c r="Y139" s="35"/>
      <c r="Z139" s="35"/>
      <c r="AA139" s="8"/>
    </row>
    <row r="140" spans="2:27" s="7" customFormat="1" ht="15.75" hidden="1" customHeight="1" x14ac:dyDescent="0.25">
      <c r="B140" s="13" t="s">
        <v>298</v>
      </c>
      <c r="C140" s="33">
        <v>323313.12</v>
      </c>
      <c r="D140" s="35">
        <f t="shared" si="1"/>
        <v>14630.35</v>
      </c>
      <c r="E140" s="35"/>
      <c r="F140" s="35"/>
      <c r="G140" s="35"/>
      <c r="H140" s="35"/>
      <c r="I140" s="35"/>
      <c r="J140" s="35"/>
      <c r="K140" s="35">
        <f>3640+1755+4934.35</f>
        <v>10329.35</v>
      </c>
      <c r="L140" s="35"/>
      <c r="M140" s="35"/>
      <c r="N140" s="35"/>
      <c r="O140" s="35">
        <v>1505</v>
      </c>
      <c r="P140" s="35"/>
      <c r="Q140" s="35"/>
      <c r="R140" s="35"/>
      <c r="S140" s="35"/>
      <c r="T140" s="35"/>
      <c r="U140" s="35">
        <f>171+2625</f>
        <v>2796</v>
      </c>
      <c r="V140" s="35"/>
      <c r="W140" s="36"/>
      <c r="X140" s="35"/>
      <c r="Y140" s="35"/>
      <c r="Z140" s="35"/>
      <c r="AA140" s="8"/>
    </row>
    <row r="141" spans="2:27" s="7" customFormat="1" ht="15.75" hidden="1" customHeight="1" x14ac:dyDescent="0.25">
      <c r="B141" s="13" t="s">
        <v>297</v>
      </c>
      <c r="C141" s="33">
        <v>176153.53</v>
      </c>
      <c r="D141" s="35">
        <f t="shared" si="1"/>
        <v>19881</v>
      </c>
      <c r="E141" s="35"/>
      <c r="F141" s="35"/>
      <c r="G141" s="35"/>
      <c r="H141" s="35">
        <v>12879</v>
      </c>
      <c r="I141" s="35"/>
      <c r="J141" s="35"/>
      <c r="K141" s="35">
        <v>1147</v>
      </c>
      <c r="L141" s="35">
        <v>367</v>
      </c>
      <c r="M141" s="35">
        <v>1795</v>
      </c>
      <c r="N141" s="35"/>
      <c r="O141" s="35"/>
      <c r="P141" s="35"/>
      <c r="Q141" s="35"/>
      <c r="R141" s="35">
        <v>3693</v>
      </c>
      <c r="S141" s="35"/>
      <c r="T141" s="35"/>
      <c r="U141" s="35"/>
      <c r="V141" s="35"/>
      <c r="W141" s="36"/>
      <c r="X141" s="35"/>
      <c r="Y141" s="35"/>
      <c r="Z141" s="35"/>
      <c r="AA141" s="8"/>
    </row>
    <row r="142" spans="2:27" s="7" customFormat="1" ht="15.75" hidden="1" customHeight="1" x14ac:dyDescent="0.25">
      <c r="B142" s="13" t="s">
        <v>296</v>
      </c>
      <c r="C142" s="33">
        <v>481650</v>
      </c>
      <c r="D142" s="35">
        <f t="shared" si="1"/>
        <v>20550.509999999998</v>
      </c>
      <c r="E142" s="35"/>
      <c r="F142" s="35"/>
      <c r="G142" s="35"/>
      <c r="H142" s="35">
        <v>696.2</v>
      </c>
      <c r="I142" s="35"/>
      <c r="J142" s="35"/>
      <c r="K142" s="35">
        <f>10774.8+3640.3+572</f>
        <v>14987.099999999999</v>
      </c>
      <c r="L142" s="35">
        <v>366.98</v>
      </c>
      <c r="M142" s="35"/>
      <c r="N142" s="35">
        <v>10774.6</v>
      </c>
      <c r="O142" s="35"/>
      <c r="P142" s="35"/>
      <c r="Q142" s="35"/>
      <c r="R142" s="35">
        <v>4134.72</v>
      </c>
      <c r="S142" s="35"/>
      <c r="T142" s="35">
        <v>365.51</v>
      </c>
      <c r="U142" s="35"/>
      <c r="V142" s="35"/>
      <c r="W142" s="36"/>
      <c r="X142" s="35"/>
      <c r="Y142" s="35"/>
      <c r="Z142" s="35"/>
      <c r="AA142" s="8"/>
    </row>
    <row r="143" spans="2:27" s="7" customFormat="1" ht="15.75" hidden="1" customHeight="1" x14ac:dyDescent="0.25">
      <c r="B143" s="13" t="s">
        <v>295</v>
      </c>
      <c r="C143" s="33">
        <v>567488.64</v>
      </c>
      <c r="D143" s="35">
        <f t="shared" ref="D143:D204" si="2">E143+F143+H143+I143+J143+K143+L143+M143+O143+P143+Q143+R143+S143+T143+U143+V143+W143+X143+Y143+Z143+G143</f>
        <v>27327.99</v>
      </c>
      <c r="E143" s="35"/>
      <c r="F143" s="35"/>
      <c r="G143" s="35"/>
      <c r="H143" s="35"/>
      <c r="I143" s="35"/>
      <c r="J143" s="35"/>
      <c r="K143" s="35">
        <v>1279.8800000000001</v>
      </c>
      <c r="L143" s="35">
        <v>367.11</v>
      </c>
      <c r="M143" s="35"/>
      <c r="N143" s="35"/>
      <c r="O143" s="35"/>
      <c r="P143" s="35"/>
      <c r="Q143" s="35"/>
      <c r="R143" s="35">
        <f>9479.94+4744.78+6213</f>
        <v>20437.72</v>
      </c>
      <c r="S143" s="35"/>
      <c r="T143" s="35">
        <f>467.28+1953</f>
        <v>2420.2799999999997</v>
      </c>
      <c r="U143" s="35">
        <v>1050</v>
      </c>
      <c r="V143" s="35"/>
      <c r="W143" s="36"/>
      <c r="X143" s="35"/>
      <c r="Y143" s="35"/>
      <c r="Z143" s="35">
        <v>1773</v>
      </c>
      <c r="AA143" s="8"/>
    </row>
    <row r="144" spans="2:27" s="7" customFormat="1" ht="15.75" hidden="1" customHeight="1" x14ac:dyDescent="0.25">
      <c r="B144" s="13" t="s">
        <v>294</v>
      </c>
      <c r="C144" s="33">
        <v>315977.28000000003</v>
      </c>
      <c r="D144" s="35">
        <f t="shared" si="2"/>
        <v>23317.305</v>
      </c>
      <c r="E144" s="35"/>
      <c r="F144" s="35"/>
      <c r="G144" s="35"/>
      <c r="H144" s="35">
        <v>6125</v>
      </c>
      <c r="I144" s="35"/>
      <c r="J144" s="35"/>
      <c r="K144" s="35">
        <v>4270.12</v>
      </c>
      <c r="L144" s="35">
        <v>1056</v>
      </c>
      <c r="M144" s="35"/>
      <c r="N144" s="35"/>
      <c r="O144" s="35"/>
      <c r="P144" s="35"/>
      <c r="Q144" s="35"/>
      <c r="R144" s="35">
        <f>1059.345+4810</f>
        <v>5869.3450000000003</v>
      </c>
      <c r="S144" s="35"/>
      <c r="T144" s="35">
        <f>1768.96+2091</f>
        <v>3859.96</v>
      </c>
      <c r="U144" s="35"/>
      <c r="V144" s="35"/>
      <c r="W144" s="36">
        <f>1080.88+1056</f>
        <v>2136.88</v>
      </c>
      <c r="X144" s="35"/>
      <c r="Y144" s="35"/>
      <c r="Z144" s="35"/>
      <c r="AA144" s="8"/>
    </row>
    <row r="145" spans="2:27" s="10" customFormat="1" ht="15.75" hidden="1" customHeight="1" x14ac:dyDescent="0.25">
      <c r="B145" s="13" t="s">
        <v>293</v>
      </c>
      <c r="C145" s="33">
        <v>128174.64</v>
      </c>
      <c r="D145" s="35">
        <f t="shared" si="2"/>
        <v>14516.760999999999</v>
      </c>
      <c r="E145" s="41"/>
      <c r="F145" s="41"/>
      <c r="G145" s="41"/>
      <c r="H145" s="41"/>
      <c r="I145" s="41"/>
      <c r="J145" s="41"/>
      <c r="K145" s="41">
        <v>552.41</v>
      </c>
      <c r="L145" s="41"/>
      <c r="M145" s="41"/>
      <c r="N145" s="41"/>
      <c r="O145" s="41"/>
      <c r="P145" s="41">
        <v>4793.7619999999997</v>
      </c>
      <c r="Q145" s="41"/>
      <c r="R145" s="41">
        <v>1939.92</v>
      </c>
      <c r="S145" s="41"/>
      <c r="T145" s="41">
        <v>3693.71</v>
      </c>
      <c r="U145" s="41">
        <v>495.91899999999998</v>
      </c>
      <c r="V145" s="41"/>
      <c r="W145" s="42">
        <f>1080.88+879+1081.16</f>
        <v>3041.04</v>
      </c>
      <c r="X145" s="41"/>
      <c r="Y145" s="41"/>
      <c r="Z145" s="41"/>
      <c r="AA145" s="11"/>
    </row>
    <row r="146" spans="2:27" s="7" customFormat="1" ht="15.75" hidden="1" customHeight="1" x14ac:dyDescent="0.25">
      <c r="B146" s="13" t="s">
        <v>292</v>
      </c>
      <c r="C146" s="33">
        <v>116989.25</v>
      </c>
      <c r="D146" s="35">
        <f t="shared" si="2"/>
        <v>475</v>
      </c>
      <c r="E146" s="35"/>
      <c r="F146" s="35"/>
      <c r="G146" s="35"/>
      <c r="H146" s="35"/>
      <c r="I146" s="35"/>
      <c r="J146" s="35"/>
      <c r="K146" s="35">
        <v>367</v>
      </c>
      <c r="L146" s="35"/>
      <c r="M146" s="35"/>
      <c r="N146" s="35"/>
      <c r="O146" s="35"/>
      <c r="P146" s="35"/>
      <c r="Q146" s="35"/>
      <c r="R146" s="35"/>
      <c r="S146" s="35"/>
      <c r="T146" s="35"/>
      <c r="U146" s="35">
        <v>108</v>
      </c>
      <c r="V146" s="35"/>
      <c r="W146" s="36"/>
      <c r="X146" s="35"/>
      <c r="Y146" s="35"/>
      <c r="Z146" s="35"/>
      <c r="AA146" s="8"/>
    </row>
    <row r="147" spans="2:27" s="7" customFormat="1" ht="15.75" hidden="1" customHeight="1" x14ac:dyDescent="0.25">
      <c r="B147" s="13" t="s">
        <v>5</v>
      </c>
      <c r="C147" s="33">
        <v>82704.36</v>
      </c>
      <c r="D147" s="35">
        <f t="shared" si="2"/>
        <v>17434.448999999997</v>
      </c>
      <c r="E147" s="35">
        <v>5099</v>
      </c>
      <c r="F147" s="35"/>
      <c r="G147" s="35"/>
      <c r="H147" s="35"/>
      <c r="I147" s="35"/>
      <c r="J147" s="35"/>
      <c r="K147" s="35">
        <v>1371.16</v>
      </c>
      <c r="L147" s="35"/>
      <c r="M147" s="35"/>
      <c r="N147" s="35"/>
      <c r="O147" s="35"/>
      <c r="P147" s="35"/>
      <c r="Q147" s="35"/>
      <c r="R147" s="35">
        <v>646.64</v>
      </c>
      <c r="S147" s="35"/>
      <c r="T147" s="35">
        <v>3693.71</v>
      </c>
      <c r="U147" s="35">
        <f>495.919+3471.56</f>
        <v>3967.4789999999998</v>
      </c>
      <c r="V147" s="35">
        <f>1081.16+1080.88</f>
        <v>2162.04</v>
      </c>
      <c r="W147" s="36">
        <v>494.42</v>
      </c>
      <c r="X147" s="35"/>
      <c r="Y147" s="35"/>
      <c r="Z147" s="35"/>
      <c r="AA147" s="8"/>
    </row>
    <row r="148" spans="2:27" s="7" customFormat="1" ht="15.75" hidden="1" customHeight="1" x14ac:dyDescent="0.25">
      <c r="B148" s="13" t="s">
        <v>6</v>
      </c>
      <c r="C148" s="33">
        <v>257903.88</v>
      </c>
      <c r="D148" s="35">
        <f t="shared" si="2"/>
        <v>22479.069</v>
      </c>
      <c r="E148" s="35"/>
      <c r="F148" s="35"/>
      <c r="G148" s="35"/>
      <c r="H148" s="35">
        <v>6300.89</v>
      </c>
      <c r="I148" s="35"/>
      <c r="J148" s="35"/>
      <c r="K148" s="35">
        <v>1988</v>
      </c>
      <c r="L148" s="35"/>
      <c r="M148" s="35"/>
      <c r="N148" s="35"/>
      <c r="O148" s="35"/>
      <c r="P148" s="35"/>
      <c r="Q148" s="35"/>
      <c r="R148" s="35">
        <v>7085</v>
      </c>
      <c r="S148" s="35"/>
      <c r="T148" s="35">
        <v>4447.1000000000004</v>
      </c>
      <c r="U148" s="35">
        <v>495.91899999999998</v>
      </c>
      <c r="V148" s="35"/>
      <c r="W148" s="36">
        <f>1081.16+1081</f>
        <v>2162.16</v>
      </c>
      <c r="X148" s="35"/>
      <c r="Y148" s="35"/>
      <c r="Z148" s="35"/>
      <c r="AA148" s="8"/>
    </row>
    <row r="149" spans="2:27" s="7" customFormat="1" ht="15.75" hidden="1" customHeight="1" x14ac:dyDescent="0.25">
      <c r="B149" s="13" t="s">
        <v>7</v>
      </c>
      <c r="C149" s="33">
        <v>182689.44</v>
      </c>
      <c r="D149" s="35">
        <f t="shared" si="2"/>
        <v>38435.520000000004</v>
      </c>
      <c r="E149" s="35"/>
      <c r="F149" s="35"/>
      <c r="G149" s="35"/>
      <c r="H149" s="35"/>
      <c r="I149" s="35"/>
      <c r="J149" s="35"/>
      <c r="K149" s="35"/>
      <c r="L149" s="35">
        <v>933.65099999999995</v>
      </c>
      <c r="M149" s="35"/>
      <c r="N149" s="35"/>
      <c r="O149" s="35">
        <v>508</v>
      </c>
      <c r="P149" s="35"/>
      <c r="Q149" s="35"/>
      <c r="R149" s="35"/>
      <c r="S149" s="35">
        <v>18041</v>
      </c>
      <c r="T149" s="35">
        <v>3693.71</v>
      </c>
      <c r="U149" s="35">
        <v>495.91899999999998</v>
      </c>
      <c r="V149" s="35"/>
      <c r="W149" s="36">
        <f>1081.16+1080.88</f>
        <v>2162.04</v>
      </c>
      <c r="X149" s="35"/>
      <c r="Y149" s="35"/>
      <c r="Z149" s="35">
        <v>12601.2</v>
      </c>
      <c r="AA149" s="8"/>
    </row>
    <row r="150" spans="2:27" s="7" customFormat="1" ht="15.75" hidden="1" customHeight="1" x14ac:dyDescent="0.25">
      <c r="B150" s="12" t="s">
        <v>8</v>
      </c>
      <c r="C150" s="33">
        <v>64989.599999999999</v>
      </c>
      <c r="D150" s="35">
        <f t="shared" si="2"/>
        <v>22333.561999999998</v>
      </c>
      <c r="E150" s="35"/>
      <c r="F150" s="35"/>
      <c r="G150" s="35"/>
      <c r="H150" s="35"/>
      <c r="I150" s="35"/>
      <c r="J150" s="35"/>
      <c r="K150" s="35">
        <v>989.71299999999997</v>
      </c>
      <c r="L150" s="35">
        <v>376.47899999999998</v>
      </c>
      <c r="M150" s="35"/>
      <c r="N150" s="35"/>
      <c r="O150" s="35"/>
      <c r="P150" s="35"/>
      <c r="Q150" s="35"/>
      <c r="R150" s="35">
        <v>3521.12</v>
      </c>
      <c r="S150" s="35"/>
      <c r="T150" s="35"/>
      <c r="U150" s="35"/>
      <c r="V150" s="35">
        <v>7546.31</v>
      </c>
      <c r="W150" s="36">
        <v>9899.94</v>
      </c>
      <c r="X150" s="35"/>
      <c r="Y150" s="35"/>
      <c r="Z150" s="35"/>
      <c r="AA150" s="8"/>
    </row>
    <row r="151" spans="2:27" s="7" customFormat="1" ht="15.75" hidden="1" customHeight="1" x14ac:dyDescent="0.25">
      <c r="B151" s="12" t="s">
        <v>9</v>
      </c>
      <c r="C151" s="33">
        <v>205304.4</v>
      </c>
      <c r="D151" s="35">
        <f t="shared" si="2"/>
        <v>22735.850000000002</v>
      </c>
      <c r="E151" s="35"/>
      <c r="F151" s="35"/>
      <c r="G151" s="35"/>
      <c r="H151" s="35"/>
      <c r="I151" s="35"/>
      <c r="J151" s="35"/>
      <c r="K151" s="35">
        <v>7424.56</v>
      </c>
      <c r="L151" s="35">
        <v>10497.41</v>
      </c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6">
        <f>1080.88+1960</f>
        <v>3040.88</v>
      </c>
      <c r="X151" s="35"/>
      <c r="Y151" s="35"/>
      <c r="Z151" s="35">
        <v>1773</v>
      </c>
      <c r="AA151" s="8"/>
    </row>
    <row r="152" spans="2:27" s="7" customFormat="1" ht="15.75" hidden="1" customHeight="1" x14ac:dyDescent="0.25">
      <c r="B152" s="13" t="s">
        <v>10</v>
      </c>
      <c r="C152" s="33">
        <v>668737.31999999995</v>
      </c>
      <c r="D152" s="35">
        <f t="shared" si="2"/>
        <v>18870</v>
      </c>
      <c r="E152" s="35"/>
      <c r="F152" s="35"/>
      <c r="G152" s="35"/>
      <c r="H152" s="35">
        <v>1763</v>
      </c>
      <c r="I152" s="35"/>
      <c r="J152" s="35"/>
      <c r="K152" s="35">
        <v>3393.64</v>
      </c>
      <c r="L152" s="35"/>
      <c r="M152" s="35"/>
      <c r="N152" s="35"/>
      <c r="O152" s="35"/>
      <c r="P152" s="35"/>
      <c r="Q152" s="35"/>
      <c r="R152" s="35">
        <v>11941</v>
      </c>
      <c r="S152" s="35"/>
      <c r="T152" s="35">
        <v>691.48</v>
      </c>
      <c r="U152" s="35"/>
      <c r="V152" s="35"/>
      <c r="W152" s="36">
        <v>1080.8800000000001</v>
      </c>
      <c r="X152" s="35"/>
      <c r="Y152" s="35"/>
      <c r="Z152" s="35"/>
      <c r="AA152" s="8"/>
    </row>
    <row r="153" spans="2:27" s="7" customFormat="1" ht="15.75" hidden="1" customHeight="1" x14ac:dyDescent="0.25">
      <c r="B153" s="12" t="s">
        <v>11</v>
      </c>
      <c r="C153" s="33">
        <v>376214.16</v>
      </c>
      <c r="D153" s="35">
        <f t="shared" si="2"/>
        <v>102293.6</v>
      </c>
      <c r="E153" s="35"/>
      <c r="F153" s="35"/>
      <c r="G153" s="35"/>
      <c r="H153" s="35"/>
      <c r="I153" s="35">
        <v>57912</v>
      </c>
      <c r="J153" s="35"/>
      <c r="K153" s="35">
        <v>565</v>
      </c>
      <c r="L153" s="35">
        <v>33592</v>
      </c>
      <c r="M153" s="35"/>
      <c r="N153" s="35"/>
      <c r="O153" s="35"/>
      <c r="P153" s="35"/>
      <c r="Q153" s="35"/>
      <c r="R153" s="35">
        <f>2804.86+4537</f>
        <v>7341.8600000000006</v>
      </c>
      <c r="S153" s="35"/>
      <c r="T153" s="35"/>
      <c r="U153" s="35"/>
      <c r="V153" s="35">
        <v>994.74</v>
      </c>
      <c r="W153" s="36">
        <v>1888</v>
      </c>
      <c r="X153" s="35"/>
      <c r="Y153" s="35"/>
      <c r="Z153" s="35"/>
      <c r="AA153" s="8"/>
    </row>
    <row r="154" spans="2:27" s="7" customFormat="1" ht="15.75" hidden="1" customHeight="1" x14ac:dyDescent="0.25">
      <c r="B154" s="12" t="s">
        <v>12</v>
      </c>
      <c r="C154" s="33">
        <v>415047.72</v>
      </c>
      <c r="D154" s="35">
        <f t="shared" si="2"/>
        <v>14158</v>
      </c>
      <c r="E154" s="35"/>
      <c r="F154" s="35"/>
      <c r="G154" s="35"/>
      <c r="H154" s="35"/>
      <c r="I154" s="35"/>
      <c r="J154" s="35"/>
      <c r="K154" s="35"/>
      <c r="L154" s="35"/>
      <c r="M154" s="35">
        <v>3112</v>
      </c>
      <c r="N154" s="35"/>
      <c r="O154" s="35">
        <v>2466</v>
      </c>
      <c r="P154" s="35"/>
      <c r="Q154" s="35"/>
      <c r="R154" s="35">
        <v>8580</v>
      </c>
      <c r="S154" s="35"/>
      <c r="T154" s="35"/>
      <c r="U154" s="35"/>
      <c r="V154" s="35"/>
      <c r="W154" s="36"/>
      <c r="X154" s="35"/>
      <c r="Y154" s="35"/>
      <c r="Z154" s="35"/>
      <c r="AA154" s="8"/>
    </row>
    <row r="155" spans="2:27" s="7" customFormat="1" ht="15.75" hidden="1" customHeight="1" x14ac:dyDescent="0.25">
      <c r="B155" s="12" t="s">
        <v>13</v>
      </c>
      <c r="C155" s="33">
        <v>289711.08</v>
      </c>
      <c r="D155" s="35">
        <f t="shared" si="2"/>
        <v>44205.645000000004</v>
      </c>
      <c r="E155" s="35"/>
      <c r="F155" s="35"/>
      <c r="G155" s="35"/>
      <c r="H155" s="35"/>
      <c r="I155" s="35"/>
      <c r="J155" s="35"/>
      <c r="K155" s="35">
        <f>1255.52+2509.86</f>
        <v>3765.38</v>
      </c>
      <c r="L155" s="35"/>
      <c r="M155" s="35"/>
      <c r="N155" s="35"/>
      <c r="O155" s="35"/>
      <c r="P155" s="35"/>
      <c r="Q155" s="35"/>
      <c r="R155" s="35">
        <f>660.635+5843.36+8671.98</f>
        <v>15175.974999999999</v>
      </c>
      <c r="S155" s="35"/>
      <c r="T155" s="35">
        <v>11909.29</v>
      </c>
      <c r="U155" s="35"/>
      <c r="V155" s="35">
        <v>13355</v>
      </c>
      <c r="W155" s="36"/>
      <c r="X155" s="35"/>
      <c r="Y155" s="35"/>
      <c r="Z155" s="35"/>
      <c r="AA155" s="8"/>
    </row>
    <row r="156" spans="2:27" s="7" customFormat="1" ht="15.75" hidden="1" customHeight="1" x14ac:dyDescent="0.25">
      <c r="B156" s="12" t="s">
        <v>14</v>
      </c>
      <c r="C156" s="33">
        <v>394407.16</v>
      </c>
      <c r="D156" s="35">
        <f t="shared" si="2"/>
        <v>30847.54</v>
      </c>
      <c r="E156" s="35"/>
      <c r="F156" s="35"/>
      <c r="G156" s="35"/>
      <c r="H156" s="35"/>
      <c r="I156" s="35"/>
      <c r="J156" s="35"/>
      <c r="K156" s="35">
        <f>2326.64+2333+9756</f>
        <v>14415.64</v>
      </c>
      <c r="L156" s="35"/>
      <c r="M156" s="35"/>
      <c r="N156" s="35"/>
      <c r="O156" s="35"/>
      <c r="P156" s="35"/>
      <c r="Q156" s="35"/>
      <c r="R156" s="35">
        <v>3281</v>
      </c>
      <c r="S156" s="35"/>
      <c r="T156" s="35"/>
      <c r="U156" s="35">
        <v>3221.4</v>
      </c>
      <c r="V156" s="35">
        <v>7175.98</v>
      </c>
      <c r="W156" s="36">
        <f>865.52+1888</f>
        <v>2753.52</v>
      </c>
      <c r="X156" s="35"/>
      <c r="Y156" s="35"/>
      <c r="Z156" s="35"/>
      <c r="AA156" s="8"/>
    </row>
    <row r="157" spans="2:27" s="20" customFormat="1" ht="15.75" hidden="1" customHeight="1" x14ac:dyDescent="0.25">
      <c r="B157" s="21" t="s">
        <v>15</v>
      </c>
      <c r="C157" s="34">
        <v>382511.49</v>
      </c>
      <c r="D157" s="35">
        <f t="shared" si="2"/>
        <v>30764.420000000002</v>
      </c>
      <c r="E157" s="38"/>
      <c r="F157" s="38"/>
      <c r="G157" s="38"/>
      <c r="H157" s="38"/>
      <c r="I157" s="38"/>
      <c r="J157" s="38"/>
      <c r="K157" s="38">
        <v>1767.64</v>
      </c>
      <c r="L157" s="38">
        <v>301</v>
      </c>
      <c r="M157" s="38"/>
      <c r="N157" s="38"/>
      <c r="O157" s="38"/>
      <c r="P157" s="38"/>
      <c r="Q157" s="38">
        <v>7406.86</v>
      </c>
      <c r="R157" s="38">
        <f>3763.02+2408.38</f>
        <v>6171.4</v>
      </c>
      <c r="S157" s="38"/>
      <c r="T157" s="38">
        <v>10170</v>
      </c>
      <c r="U157" s="38"/>
      <c r="V157" s="38">
        <v>4082</v>
      </c>
      <c r="W157" s="39">
        <v>865.52</v>
      </c>
      <c r="X157" s="38"/>
      <c r="Y157" s="38"/>
      <c r="Z157" s="38"/>
      <c r="AA157" s="19"/>
    </row>
    <row r="158" spans="2:27" s="7" customFormat="1" ht="15.75" hidden="1" customHeight="1" x14ac:dyDescent="0.25">
      <c r="B158" s="12" t="s">
        <v>16</v>
      </c>
      <c r="C158" s="33">
        <v>166868.85</v>
      </c>
      <c r="D158" s="35">
        <f t="shared" si="2"/>
        <v>1776.52</v>
      </c>
      <c r="E158" s="35"/>
      <c r="F158" s="35"/>
      <c r="G158" s="35"/>
      <c r="H158" s="35"/>
      <c r="I158" s="35"/>
      <c r="J158" s="35"/>
      <c r="K158" s="35"/>
      <c r="L158" s="35">
        <v>911</v>
      </c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6">
        <v>865.52</v>
      </c>
      <c r="X158" s="35"/>
      <c r="Y158" s="35"/>
      <c r="Z158" s="35"/>
      <c r="AA158" s="8"/>
    </row>
    <row r="159" spans="2:27" s="7" customFormat="1" ht="15.75" hidden="1" customHeight="1" x14ac:dyDescent="0.25">
      <c r="B159" s="12" t="s">
        <v>17</v>
      </c>
      <c r="C159" s="33">
        <v>90134.3</v>
      </c>
      <c r="D159" s="35">
        <f t="shared" si="2"/>
        <v>7303.67</v>
      </c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>
        <v>2904</v>
      </c>
      <c r="P159" s="35"/>
      <c r="Q159" s="35"/>
      <c r="R159" s="35">
        <v>3303.15</v>
      </c>
      <c r="S159" s="35"/>
      <c r="T159" s="35">
        <v>1096.52</v>
      </c>
      <c r="U159" s="35"/>
      <c r="V159" s="35"/>
      <c r="W159" s="36"/>
      <c r="X159" s="35"/>
      <c r="Y159" s="35"/>
      <c r="Z159" s="35"/>
      <c r="AA159" s="8"/>
    </row>
    <row r="160" spans="2:27" s="7" customFormat="1" ht="15.75" hidden="1" customHeight="1" x14ac:dyDescent="0.25">
      <c r="B160" s="12" t="s">
        <v>18</v>
      </c>
      <c r="C160" s="33">
        <v>170278.33</v>
      </c>
      <c r="D160" s="35">
        <f t="shared" si="2"/>
        <v>7220.7880000000005</v>
      </c>
      <c r="E160" s="35"/>
      <c r="F160" s="35"/>
      <c r="G160" s="35"/>
      <c r="H160" s="35"/>
      <c r="I160" s="35"/>
      <c r="J160" s="35"/>
      <c r="K160" s="35"/>
      <c r="L160" s="35"/>
      <c r="M160" s="35">
        <v>882</v>
      </c>
      <c r="N160" s="35"/>
      <c r="O160" s="35"/>
      <c r="P160" s="35"/>
      <c r="Q160" s="35"/>
      <c r="R160" s="35">
        <v>2537.2710000000002</v>
      </c>
      <c r="S160" s="35"/>
      <c r="T160" s="35">
        <v>345.91699999999997</v>
      </c>
      <c r="U160" s="35">
        <v>171</v>
      </c>
      <c r="V160" s="35">
        <v>3284.6</v>
      </c>
      <c r="W160" s="36"/>
      <c r="X160" s="35"/>
      <c r="Y160" s="35"/>
      <c r="Z160" s="35"/>
      <c r="AA160" s="8"/>
    </row>
    <row r="161" spans="2:27" s="7" customFormat="1" ht="15.75" hidden="1" customHeight="1" x14ac:dyDescent="0.25">
      <c r="B161" s="12" t="s">
        <v>19</v>
      </c>
      <c r="C161" s="33">
        <v>127253.74</v>
      </c>
      <c r="D161" s="35">
        <f t="shared" si="2"/>
        <v>6185</v>
      </c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>
        <v>5773</v>
      </c>
      <c r="T161" s="35"/>
      <c r="U161" s="35"/>
      <c r="V161" s="35">
        <v>412</v>
      </c>
      <c r="W161" s="36"/>
      <c r="X161" s="35"/>
      <c r="Y161" s="35"/>
      <c r="Z161" s="35"/>
      <c r="AA161" s="8"/>
    </row>
    <row r="162" spans="2:27" s="7" customFormat="1" ht="15.75" hidden="1" customHeight="1" x14ac:dyDescent="0.25">
      <c r="B162" s="12" t="s">
        <v>20</v>
      </c>
      <c r="C162" s="33">
        <v>316668.71999999997</v>
      </c>
      <c r="D162" s="35">
        <f t="shared" si="2"/>
        <v>7590.0540000000001</v>
      </c>
      <c r="E162" s="35"/>
      <c r="F162" s="35"/>
      <c r="G162" s="35"/>
      <c r="H162" s="35"/>
      <c r="I162" s="35"/>
      <c r="J162" s="35"/>
      <c r="K162" s="35">
        <f>787.414+2774.18</f>
        <v>3561.5940000000001</v>
      </c>
      <c r="L162" s="35"/>
      <c r="M162" s="35"/>
      <c r="N162" s="35"/>
      <c r="O162" s="35"/>
      <c r="P162" s="35"/>
      <c r="Q162" s="35"/>
      <c r="R162" s="35">
        <v>1969.42</v>
      </c>
      <c r="S162" s="35"/>
      <c r="T162" s="35">
        <v>1096.52</v>
      </c>
      <c r="U162" s="35"/>
      <c r="V162" s="35">
        <v>97</v>
      </c>
      <c r="W162" s="36">
        <v>865.52</v>
      </c>
      <c r="X162" s="35"/>
      <c r="Y162" s="35"/>
      <c r="Z162" s="35"/>
      <c r="AA162" s="8"/>
    </row>
    <row r="163" spans="2:27" s="7" customFormat="1" ht="15.75" hidden="1" customHeight="1" x14ac:dyDescent="0.25">
      <c r="B163" s="12" t="s">
        <v>21</v>
      </c>
      <c r="C163" s="33">
        <v>341004.6</v>
      </c>
      <c r="D163" s="35">
        <f t="shared" si="2"/>
        <v>2892753.05</v>
      </c>
      <c r="E163" s="35"/>
      <c r="F163" s="35"/>
      <c r="G163" s="35">
        <v>2866230</v>
      </c>
      <c r="H163" s="35"/>
      <c r="I163" s="35"/>
      <c r="J163" s="35"/>
      <c r="K163" s="35">
        <f>3035+1820.74+3022</f>
        <v>7877.74</v>
      </c>
      <c r="L163" s="35"/>
      <c r="M163" s="35"/>
      <c r="N163" s="35"/>
      <c r="O163" s="35">
        <v>248.98</v>
      </c>
      <c r="P163" s="35"/>
      <c r="Q163" s="35"/>
      <c r="R163" s="35">
        <f>3361.82+7937</f>
        <v>11298.82</v>
      </c>
      <c r="S163" s="35"/>
      <c r="T163" s="35"/>
      <c r="U163" s="35"/>
      <c r="V163" s="35"/>
      <c r="W163" s="36">
        <f>2842.51+4255</f>
        <v>7097.51</v>
      </c>
      <c r="X163" s="35"/>
      <c r="Y163" s="35"/>
      <c r="Z163" s="35"/>
      <c r="AA163" s="8"/>
    </row>
    <row r="164" spans="2:27" s="7" customFormat="1" ht="15.75" hidden="1" customHeight="1" x14ac:dyDescent="0.25">
      <c r="B164" s="12" t="s">
        <v>22</v>
      </c>
      <c r="C164" s="33">
        <v>346008.24</v>
      </c>
      <c r="D164" s="35">
        <f t="shared" si="2"/>
        <v>50440.070000000007</v>
      </c>
      <c r="E164" s="35"/>
      <c r="F164" s="35"/>
      <c r="G164" s="35"/>
      <c r="H164" s="35"/>
      <c r="I164" s="35"/>
      <c r="J164" s="35"/>
      <c r="K164" s="35">
        <f>2378.85+4665</f>
        <v>7043.85</v>
      </c>
      <c r="L164" s="35"/>
      <c r="M164" s="35">
        <f>17147.7+9045</f>
        <v>26192.7</v>
      </c>
      <c r="N164" s="35"/>
      <c r="O164" s="35"/>
      <c r="P164" s="35"/>
      <c r="Q164" s="35"/>
      <c r="R164" s="35"/>
      <c r="S164" s="35"/>
      <c r="T164" s="35"/>
      <c r="U164" s="35">
        <v>830</v>
      </c>
      <c r="V164" s="35"/>
      <c r="W164" s="36">
        <f>865.52+15508</f>
        <v>16373.52</v>
      </c>
      <c r="X164" s="35"/>
      <c r="Y164" s="35"/>
      <c r="Z164" s="35"/>
      <c r="AA164" s="8"/>
    </row>
    <row r="165" spans="2:27" s="7" customFormat="1" ht="15.75" hidden="1" customHeight="1" x14ac:dyDescent="0.25">
      <c r="B165" s="12" t="s">
        <v>23</v>
      </c>
      <c r="C165" s="33">
        <v>331854</v>
      </c>
      <c r="D165" s="35">
        <f t="shared" si="2"/>
        <v>95748.387999999992</v>
      </c>
      <c r="E165" s="35"/>
      <c r="F165" s="35"/>
      <c r="G165" s="35"/>
      <c r="H165" s="35"/>
      <c r="I165" s="35">
        <v>21162</v>
      </c>
      <c r="J165" s="35"/>
      <c r="K165" s="35">
        <v>5201.4399999999996</v>
      </c>
      <c r="L165" s="35"/>
      <c r="M165" s="35"/>
      <c r="N165" s="35"/>
      <c r="O165" s="35">
        <v>14876.779</v>
      </c>
      <c r="P165" s="35">
        <v>16691</v>
      </c>
      <c r="Q165" s="35"/>
      <c r="R165" s="40">
        <f>19974.3+1994.2</f>
        <v>21968.5</v>
      </c>
      <c r="S165" s="35"/>
      <c r="T165" s="35">
        <v>3693.71</v>
      </c>
      <c r="U165" s="36">
        <f>495.919+9497</f>
        <v>9992.9189999999999</v>
      </c>
      <c r="V165" s="35"/>
      <c r="W165" s="40">
        <f>1081.16+1080.88</f>
        <v>2162.04</v>
      </c>
      <c r="X165" s="35"/>
      <c r="Y165" s="35"/>
      <c r="Z165" s="35"/>
      <c r="AA165" s="8"/>
    </row>
    <row r="166" spans="2:27" s="7" customFormat="1" ht="15.75" hidden="1" customHeight="1" x14ac:dyDescent="0.25">
      <c r="B166" s="12" t="s">
        <v>24</v>
      </c>
      <c r="C166" s="33">
        <v>351307.98</v>
      </c>
      <c r="D166" s="35">
        <f t="shared" si="2"/>
        <v>195747.12</v>
      </c>
      <c r="E166" s="35"/>
      <c r="F166" s="35"/>
      <c r="G166" s="35"/>
      <c r="H166" s="35"/>
      <c r="I166" s="35"/>
      <c r="J166" s="35"/>
      <c r="K166" s="35">
        <v>1255.52</v>
      </c>
      <c r="L166" s="35"/>
      <c r="M166" s="35">
        <v>4188</v>
      </c>
      <c r="N166" s="35"/>
      <c r="O166" s="35"/>
      <c r="P166" s="35"/>
      <c r="Q166" s="35"/>
      <c r="R166" s="35">
        <v>26007</v>
      </c>
      <c r="S166" s="35"/>
      <c r="T166" s="35"/>
      <c r="U166" s="35">
        <v>455.48</v>
      </c>
      <c r="V166" s="35">
        <v>112.1</v>
      </c>
      <c r="W166" s="36"/>
      <c r="X166" s="35"/>
      <c r="Y166" s="35">
        <v>163729.01999999999</v>
      </c>
      <c r="Z166" s="35"/>
      <c r="AA166" s="8"/>
    </row>
    <row r="167" spans="2:27" s="7" customFormat="1" ht="15.75" hidden="1" customHeight="1" x14ac:dyDescent="0.25">
      <c r="B167" s="12" t="s">
        <v>25</v>
      </c>
      <c r="C167" s="33">
        <v>434589.23</v>
      </c>
      <c r="D167" s="35">
        <f t="shared" si="2"/>
        <v>3410</v>
      </c>
      <c r="E167" s="35"/>
      <c r="F167" s="35"/>
      <c r="G167" s="35"/>
      <c r="H167" s="35"/>
      <c r="I167" s="35"/>
      <c r="J167" s="35"/>
      <c r="K167" s="35">
        <f>760.9+969.96</f>
        <v>1730.8600000000001</v>
      </c>
      <c r="L167" s="35"/>
      <c r="M167" s="35"/>
      <c r="N167" s="35"/>
      <c r="O167" s="35"/>
      <c r="P167" s="35"/>
      <c r="Q167" s="35"/>
      <c r="R167" s="35">
        <v>1679.14</v>
      </c>
      <c r="S167" s="35"/>
      <c r="T167" s="35"/>
      <c r="U167" s="35"/>
      <c r="V167" s="35"/>
      <c r="W167" s="36"/>
      <c r="X167" s="35"/>
      <c r="Y167" s="35"/>
      <c r="Z167" s="35"/>
      <c r="AA167" s="8"/>
    </row>
    <row r="168" spans="2:27" s="7" customFormat="1" ht="15.75" hidden="1" customHeight="1" x14ac:dyDescent="0.25">
      <c r="B168" s="12" t="s">
        <v>26</v>
      </c>
      <c r="C168" s="33">
        <v>204140.28</v>
      </c>
      <c r="D168" s="35">
        <f t="shared" si="2"/>
        <v>73808</v>
      </c>
      <c r="E168" s="35"/>
      <c r="F168" s="35"/>
      <c r="G168" s="35"/>
      <c r="H168" s="35"/>
      <c r="I168" s="35"/>
      <c r="J168" s="35"/>
      <c r="K168" s="35">
        <v>4873.3999999999996</v>
      </c>
      <c r="L168" s="35">
        <v>933.38</v>
      </c>
      <c r="M168" s="35"/>
      <c r="N168" s="35"/>
      <c r="O168" s="35"/>
      <c r="P168" s="35"/>
      <c r="Q168" s="35"/>
      <c r="R168" s="35">
        <v>33512.6</v>
      </c>
      <c r="S168" s="35"/>
      <c r="T168" s="35">
        <v>29303.74</v>
      </c>
      <c r="U168" s="35">
        <v>1436</v>
      </c>
      <c r="V168" s="35"/>
      <c r="W168" s="36">
        <v>3748.88</v>
      </c>
      <c r="X168" s="35"/>
      <c r="Y168" s="35"/>
      <c r="Z168" s="35"/>
      <c r="AA168" s="8"/>
    </row>
    <row r="169" spans="2:27" s="7" customFormat="1" ht="15.75" hidden="1" customHeight="1" x14ac:dyDescent="0.25">
      <c r="B169" s="12" t="s">
        <v>27</v>
      </c>
      <c r="C169" s="33">
        <v>1039684.98</v>
      </c>
      <c r="D169" s="35">
        <f t="shared" si="2"/>
        <v>23706.91</v>
      </c>
      <c r="E169" s="35"/>
      <c r="F169" s="35"/>
      <c r="G169" s="35"/>
      <c r="H169" s="35"/>
      <c r="I169" s="35"/>
      <c r="J169" s="35"/>
      <c r="K169" s="35">
        <v>10973.49</v>
      </c>
      <c r="L169" s="35"/>
      <c r="M169" s="35"/>
      <c r="N169" s="35"/>
      <c r="O169" s="35"/>
      <c r="P169" s="35"/>
      <c r="Q169" s="35"/>
      <c r="R169" s="35">
        <f>1702.74+4134.72</f>
        <v>5837.46</v>
      </c>
      <c r="S169" s="35">
        <v>2620</v>
      </c>
      <c r="T169" s="35">
        <f>3647.96+628</f>
        <v>4275.96</v>
      </c>
      <c r="U169" s="35"/>
      <c r="V169" s="35"/>
      <c r="W169" s="36"/>
      <c r="X169" s="35"/>
      <c r="Y169" s="35"/>
      <c r="Z169" s="35"/>
      <c r="AA169" s="8"/>
    </row>
    <row r="170" spans="2:27" s="7" customFormat="1" ht="15.75" hidden="1" customHeight="1" x14ac:dyDescent="0.25">
      <c r="B170" s="13" t="s">
        <v>28</v>
      </c>
      <c r="C170" s="33">
        <v>67764.479999999996</v>
      </c>
      <c r="D170" s="35">
        <f t="shared" si="2"/>
        <v>42922</v>
      </c>
      <c r="E170" s="35"/>
      <c r="F170" s="35"/>
      <c r="G170" s="35"/>
      <c r="H170" s="35">
        <v>2336</v>
      </c>
      <c r="I170" s="35"/>
      <c r="J170" s="35"/>
      <c r="K170" s="35"/>
      <c r="L170" s="35"/>
      <c r="M170" s="35"/>
      <c r="N170" s="35"/>
      <c r="O170" s="35"/>
      <c r="P170" s="35">
        <v>30439</v>
      </c>
      <c r="Q170" s="35"/>
      <c r="R170" s="35">
        <v>10147</v>
      </c>
      <c r="S170" s="35"/>
      <c r="T170" s="35"/>
      <c r="U170" s="35"/>
      <c r="V170" s="35"/>
      <c r="W170" s="36"/>
      <c r="X170" s="35"/>
      <c r="Y170" s="35"/>
      <c r="Z170" s="35"/>
      <c r="AA170" s="8"/>
    </row>
    <row r="171" spans="2:27" s="7" customFormat="1" ht="15.75" hidden="1" customHeight="1" x14ac:dyDescent="0.25">
      <c r="B171" s="13" t="s">
        <v>29</v>
      </c>
      <c r="C171" s="33">
        <v>47891.28</v>
      </c>
      <c r="D171" s="35">
        <f t="shared" si="2"/>
        <v>5118</v>
      </c>
      <c r="E171" s="35"/>
      <c r="F171" s="35"/>
      <c r="G171" s="35"/>
      <c r="H171" s="35">
        <v>5118</v>
      </c>
      <c r="I171" s="35"/>
      <c r="J171" s="35"/>
      <c r="K171" s="35"/>
      <c r="L171" s="40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40"/>
      <c r="X171" s="35"/>
      <c r="Y171" s="35"/>
      <c r="Z171" s="35"/>
      <c r="AA171" s="8"/>
    </row>
    <row r="172" spans="2:27" s="7" customFormat="1" ht="15.75" hidden="1" customHeight="1" x14ac:dyDescent="0.25">
      <c r="B172" s="13" t="s">
        <v>30</v>
      </c>
      <c r="C172" s="33">
        <v>69982.080000000002</v>
      </c>
      <c r="D172" s="35">
        <f t="shared" si="2"/>
        <v>4238</v>
      </c>
      <c r="E172" s="35"/>
      <c r="F172" s="35"/>
      <c r="G172" s="35"/>
      <c r="H172" s="35"/>
      <c r="I172" s="35"/>
      <c r="J172" s="35"/>
      <c r="K172" s="35"/>
      <c r="L172" s="35">
        <v>1200</v>
      </c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6">
        <v>3038</v>
      </c>
      <c r="X172" s="35"/>
      <c r="Y172" s="35"/>
      <c r="Z172" s="35"/>
      <c r="AA172" s="8"/>
    </row>
    <row r="173" spans="2:27" s="7" customFormat="1" ht="15.75" hidden="1" customHeight="1" x14ac:dyDescent="0.25">
      <c r="B173" s="13" t="s">
        <v>31</v>
      </c>
      <c r="C173" s="33">
        <v>125577.48</v>
      </c>
      <c r="D173" s="35">
        <f t="shared" si="2"/>
        <v>44938.910999999993</v>
      </c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>
        <f>1423.03+27527.93+2012.974+5010</f>
        <v>35973.933999999994</v>
      </c>
      <c r="S173" s="35"/>
      <c r="T173" s="35">
        <v>4325.74</v>
      </c>
      <c r="U173" s="35">
        <v>661.23699999999997</v>
      </c>
      <c r="V173" s="35">
        <v>2018</v>
      </c>
      <c r="W173" s="40">
        <v>1960</v>
      </c>
      <c r="X173" s="35"/>
      <c r="Y173" s="35"/>
      <c r="Z173" s="35"/>
      <c r="AA173" s="8"/>
    </row>
    <row r="174" spans="2:27" s="7" customFormat="1" ht="15.75" hidden="1" customHeight="1" x14ac:dyDescent="0.25">
      <c r="B174" s="13" t="s">
        <v>32</v>
      </c>
      <c r="C174" s="33">
        <v>278017.44</v>
      </c>
      <c r="D174" s="35">
        <f t="shared" si="2"/>
        <v>7515.2744000000002</v>
      </c>
      <c r="E174" s="35"/>
      <c r="F174" s="35"/>
      <c r="G174" s="35"/>
      <c r="H174" s="35"/>
      <c r="I174" s="35"/>
      <c r="J174" s="35"/>
      <c r="K174" s="35">
        <v>1892.73</v>
      </c>
      <c r="L174" s="35">
        <v>601</v>
      </c>
      <c r="M174" s="35"/>
      <c r="N174" s="35"/>
      <c r="O174" s="35">
        <v>1090.8273999999999</v>
      </c>
      <c r="P174" s="35"/>
      <c r="Q174" s="35"/>
      <c r="R174" s="35"/>
      <c r="S174" s="35"/>
      <c r="T174" s="35"/>
      <c r="U174" s="35">
        <f>1309.48+661.237</f>
        <v>1970.7170000000001</v>
      </c>
      <c r="V174" s="35"/>
      <c r="W174" s="36">
        <v>1960</v>
      </c>
      <c r="X174" s="35"/>
      <c r="Y174" s="35"/>
      <c r="Z174" s="35"/>
      <c r="AA174" s="8"/>
    </row>
    <row r="175" spans="2:27" s="7" customFormat="1" ht="15.75" hidden="1" customHeight="1" x14ac:dyDescent="0.25">
      <c r="B175" s="13" t="s">
        <v>33</v>
      </c>
      <c r="C175" s="33">
        <v>74996.160000000003</v>
      </c>
      <c r="D175" s="35">
        <f t="shared" si="2"/>
        <v>2697.56</v>
      </c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>
        <v>738.68</v>
      </c>
      <c r="S175" s="35"/>
      <c r="T175" s="35"/>
      <c r="U175" s="35"/>
      <c r="V175" s="35"/>
      <c r="W175" s="36">
        <v>1958.88</v>
      </c>
      <c r="X175" s="35"/>
      <c r="Y175" s="35"/>
      <c r="Z175" s="35"/>
      <c r="AA175" s="8"/>
    </row>
    <row r="176" spans="2:27" s="7" customFormat="1" ht="15.75" hidden="1" customHeight="1" x14ac:dyDescent="0.25">
      <c r="B176" s="13" t="s">
        <v>34</v>
      </c>
      <c r="C176" s="33">
        <v>197622.6</v>
      </c>
      <c r="D176" s="35">
        <f t="shared" si="2"/>
        <v>21719.539000000001</v>
      </c>
      <c r="E176" s="35"/>
      <c r="F176" s="35"/>
      <c r="G176" s="35"/>
      <c r="H176" s="35"/>
      <c r="I176" s="35"/>
      <c r="J176" s="35"/>
      <c r="K176" s="35">
        <v>1135.6400000000001</v>
      </c>
      <c r="L176" s="35"/>
      <c r="M176" s="35"/>
      <c r="N176" s="35"/>
      <c r="O176" s="35"/>
      <c r="P176" s="35"/>
      <c r="Q176" s="35"/>
      <c r="R176" s="35">
        <v>1575</v>
      </c>
      <c r="S176" s="35"/>
      <c r="T176" s="35">
        <v>4537.1000000000004</v>
      </c>
      <c r="U176" s="35">
        <v>495.91899999999998</v>
      </c>
      <c r="V176" s="35">
        <v>11007</v>
      </c>
      <c r="W176" s="36">
        <v>2968.88</v>
      </c>
      <c r="X176" s="35"/>
      <c r="Y176" s="35"/>
      <c r="Z176" s="35"/>
      <c r="AA176" s="8"/>
    </row>
    <row r="177" spans="2:27" s="7" customFormat="1" ht="15.75" hidden="1" customHeight="1" x14ac:dyDescent="0.25">
      <c r="B177" s="13" t="s">
        <v>35</v>
      </c>
      <c r="C177" s="33">
        <v>137945.16</v>
      </c>
      <c r="D177" s="35">
        <f t="shared" si="2"/>
        <v>11118.089</v>
      </c>
      <c r="E177" s="35"/>
      <c r="F177" s="35"/>
      <c r="G177" s="35"/>
      <c r="H177" s="35"/>
      <c r="I177" s="35"/>
      <c r="J177" s="35"/>
      <c r="K177" s="35">
        <v>3971.88</v>
      </c>
      <c r="L177" s="35"/>
      <c r="M177" s="35">
        <v>530</v>
      </c>
      <c r="N177" s="35"/>
      <c r="O177" s="35"/>
      <c r="P177" s="35"/>
      <c r="Q177" s="35"/>
      <c r="R177" s="35"/>
      <c r="S177" s="35"/>
      <c r="T177" s="35">
        <v>4160.41</v>
      </c>
      <c r="U177" s="35">
        <v>495.91899999999998</v>
      </c>
      <c r="V177" s="35"/>
      <c r="W177" s="36">
        <v>1959.88</v>
      </c>
      <c r="X177" s="35"/>
      <c r="Y177" s="35"/>
      <c r="Z177" s="35"/>
      <c r="AA177" s="8"/>
    </row>
    <row r="178" spans="2:27" s="7" customFormat="1" ht="15.75" hidden="1" customHeight="1" x14ac:dyDescent="0.25">
      <c r="B178" s="13" t="s">
        <v>36</v>
      </c>
      <c r="C178" s="33">
        <v>18769.560000000001</v>
      </c>
      <c r="D178" s="35">
        <f t="shared" si="2"/>
        <v>7444.6399999999994</v>
      </c>
      <c r="E178" s="35"/>
      <c r="F178" s="35"/>
      <c r="G178" s="35"/>
      <c r="H178" s="35"/>
      <c r="I178" s="35"/>
      <c r="J178" s="35"/>
      <c r="K178" s="35"/>
      <c r="L178" s="35">
        <v>933.65099999999995</v>
      </c>
      <c r="M178" s="35"/>
      <c r="N178" s="35"/>
      <c r="O178" s="35"/>
      <c r="P178" s="35">
        <v>1101.27</v>
      </c>
      <c r="Q178" s="35"/>
      <c r="R178" s="35"/>
      <c r="S178" s="35"/>
      <c r="T178" s="35">
        <v>4913.8</v>
      </c>
      <c r="U178" s="35">
        <v>495.91899999999998</v>
      </c>
      <c r="V178" s="35"/>
      <c r="W178" s="35"/>
      <c r="X178" s="35"/>
      <c r="Y178" s="35"/>
      <c r="Z178" s="35"/>
      <c r="AA178" s="8"/>
    </row>
    <row r="179" spans="2:27" s="7" customFormat="1" ht="15.75" hidden="1" customHeight="1" x14ac:dyDescent="0.25">
      <c r="B179" s="13" t="s">
        <v>37</v>
      </c>
      <c r="C179" s="33">
        <v>116973.72</v>
      </c>
      <c r="D179" s="35">
        <f t="shared" si="2"/>
        <v>27233.570000000003</v>
      </c>
      <c r="E179" s="35"/>
      <c r="F179" s="35"/>
      <c r="G179" s="35"/>
      <c r="H179" s="35"/>
      <c r="I179" s="35"/>
      <c r="J179" s="35"/>
      <c r="K179" s="35">
        <v>6189.88</v>
      </c>
      <c r="L179" s="35"/>
      <c r="M179" s="35"/>
      <c r="N179" s="35"/>
      <c r="O179" s="35">
        <f>1711.15+1695.66</f>
        <v>3406.8100000000004</v>
      </c>
      <c r="P179" s="35"/>
      <c r="Q179" s="35"/>
      <c r="R179" s="35">
        <v>15677</v>
      </c>
      <c r="S179" s="35"/>
      <c r="T179" s="35"/>
      <c r="U179" s="35"/>
      <c r="V179" s="35"/>
      <c r="W179" s="36">
        <v>1959.88</v>
      </c>
      <c r="X179" s="35"/>
      <c r="Y179" s="35"/>
      <c r="Z179" s="35"/>
      <c r="AA179" s="8"/>
    </row>
    <row r="180" spans="2:27" s="7" customFormat="1" ht="15.75" hidden="1" customHeight="1" x14ac:dyDescent="0.25">
      <c r="B180" s="13" t="s">
        <v>38</v>
      </c>
      <c r="C180" s="33">
        <v>167422.44</v>
      </c>
      <c r="D180" s="35">
        <f t="shared" si="2"/>
        <v>8917.8990000000013</v>
      </c>
      <c r="E180" s="35"/>
      <c r="F180" s="35"/>
      <c r="G180" s="35"/>
      <c r="H180" s="35"/>
      <c r="I180" s="35"/>
      <c r="J180" s="35"/>
      <c r="K180" s="35">
        <v>756.38</v>
      </c>
      <c r="L180" s="35"/>
      <c r="M180" s="35"/>
      <c r="N180" s="35"/>
      <c r="O180" s="35"/>
      <c r="P180" s="35"/>
      <c r="Q180" s="35"/>
      <c r="R180" s="35"/>
      <c r="S180" s="35"/>
      <c r="T180" s="35">
        <f>3572.34+315</f>
        <v>3887.34</v>
      </c>
      <c r="U180" s="35">
        <f>495.919+1818.38</f>
        <v>2314.299</v>
      </c>
      <c r="V180" s="35"/>
      <c r="W180" s="36">
        <v>1959.88</v>
      </c>
      <c r="X180" s="35"/>
      <c r="Y180" s="35"/>
      <c r="Z180" s="35"/>
      <c r="AA180" s="8"/>
    </row>
    <row r="181" spans="2:27" s="7" customFormat="1" ht="15.75" hidden="1" customHeight="1" x14ac:dyDescent="0.25">
      <c r="B181" s="13" t="s">
        <v>39</v>
      </c>
      <c r="C181" s="33">
        <v>73371.72</v>
      </c>
      <c r="D181" s="35">
        <f t="shared" si="2"/>
        <v>899648.28</v>
      </c>
      <c r="E181" s="35"/>
      <c r="F181" s="35">
        <v>887462</v>
      </c>
      <c r="G181" s="35"/>
      <c r="H181" s="35"/>
      <c r="I181" s="35"/>
      <c r="J181" s="35"/>
      <c r="K181" s="35">
        <f>4638+4152.42+1069</f>
        <v>9859.42</v>
      </c>
      <c r="L181" s="35">
        <v>366.98</v>
      </c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6">
        <v>1959.88</v>
      </c>
      <c r="X181" s="35"/>
      <c r="Y181" s="35"/>
      <c r="Z181" s="35"/>
      <c r="AA181" s="8"/>
    </row>
    <row r="182" spans="2:27" s="7" customFormat="1" ht="15.75" hidden="1" customHeight="1" x14ac:dyDescent="0.25">
      <c r="B182" s="13" t="s">
        <v>40</v>
      </c>
      <c r="C182" s="33">
        <v>366950.16</v>
      </c>
      <c r="D182" s="35">
        <f t="shared" si="2"/>
        <v>45957.29</v>
      </c>
      <c r="E182" s="35"/>
      <c r="F182" s="35"/>
      <c r="G182" s="35"/>
      <c r="H182" s="35"/>
      <c r="I182" s="35"/>
      <c r="J182" s="35"/>
      <c r="K182" s="35">
        <v>765.63099999999997</v>
      </c>
      <c r="L182" s="35">
        <v>5965</v>
      </c>
      <c r="M182" s="35"/>
      <c r="N182" s="35"/>
      <c r="O182" s="35"/>
      <c r="P182" s="35"/>
      <c r="Q182" s="35"/>
      <c r="R182" s="35">
        <v>13368</v>
      </c>
      <c r="S182" s="35">
        <v>8960</v>
      </c>
      <c r="T182" s="35">
        <f>2924.03+3693.71+4053</f>
        <v>10670.74</v>
      </c>
      <c r="U182" s="35">
        <v>495.91899999999998</v>
      </c>
      <c r="V182" s="35"/>
      <c r="W182" s="36">
        <v>5732</v>
      </c>
      <c r="X182" s="35"/>
      <c r="Y182" s="35"/>
      <c r="Z182" s="35"/>
      <c r="AA182" s="8"/>
    </row>
    <row r="183" spans="2:27" s="7" customFormat="1" ht="15.75" hidden="1" customHeight="1" x14ac:dyDescent="0.25">
      <c r="B183" s="13" t="s">
        <v>41</v>
      </c>
      <c r="C183" s="33">
        <v>302495.15999999997</v>
      </c>
      <c r="D183" s="35">
        <f t="shared" si="2"/>
        <v>64096.019</v>
      </c>
      <c r="E183" s="35"/>
      <c r="F183" s="35"/>
      <c r="G183" s="35"/>
      <c r="H183" s="35"/>
      <c r="I183" s="35"/>
      <c r="J183" s="35"/>
      <c r="K183" s="35">
        <v>39898.83</v>
      </c>
      <c r="L183" s="35">
        <f>7720.69+1867.3+5839+1867.3</f>
        <v>17294.29</v>
      </c>
      <c r="M183" s="35"/>
      <c r="N183" s="35"/>
      <c r="O183" s="35"/>
      <c r="P183" s="35"/>
      <c r="Q183" s="35"/>
      <c r="R183" s="35"/>
      <c r="S183" s="35"/>
      <c r="T183" s="35">
        <v>4447.1000000000004</v>
      </c>
      <c r="U183" s="35">
        <v>495.91899999999998</v>
      </c>
      <c r="V183" s="35"/>
      <c r="W183" s="36">
        <v>1959.88</v>
      </c>
      <c r="X183" s="35"/>
      <c r="Y183" s="35"/>
      <c r="Z183" s="35"/>
      <c r="AA183" s="8"/>
    </row>
    <row r="184" spans="2:27" s="7" customFormat="1" ht="15.75" hidden="1" customHeight="1" x14ac:dyDescent="0.25">
      <c r="B184" s="13" t="s">
        <v>42</v>
      </c>
      <c r="C184" s="33">
        <v>362693.76</v>
      </c>
      <c r="D184" s="35">
        <f t="shared" si="2"/>
        <v>19931.019999999997</v>
      </c>
      <c r="E184" s="35"/>
      <c r="F184" s="35"/>
      <c r="G184" s="35"/>
      <c r="H184" s="35"/>
      <c r="I184" s="35"/>
      <c r="J184" s="35"/>
      <c r="K184" s="35">
        <v>2594.1799999999998</v>
      </c>
      <c r="L184" s="35">
        <v>933.65099999999995</v>
      </c>
      <c r="M184" s="35"/>
      <c r="N184" s="35"/>
      <c r="O184" s="35"/>
      <c r="P184" s="35"/>
      <c r="Q184" s="35"/>
      <c r="R184" s="35">
        <v>3518.22</v>
      </c>
      <c r="S184" s="35"/>
      <c r="T184" s="35">
        <v>7854.12</v>
      </c>
      <c r="U184" s="35">
        <v>991.84900000000005</v>
      </c>
      <c r="V184" s="35"/>
      <c r="W184" s="36">
        <v>4039</v>
      </c>
      <c r="X184" s="35"/>
      <c r="Y184" s="35"/>
      <c r="Z184" s="35"/>
      <c r="AA184" s="8"/>
    </row>
    <row r="185" spans="2:27" s="7" customFormat="1" ht="15.75" hidden="1" customHeight="1" x14ac:dyDescent="0.25">
      <c r="B185" s="13" t="s">
        <v>43</v>
      </c>
      <c r="C185" s="33">
        <v>167422.44</v>
      </c>
      <c r="D185" s="35">
        <f t="shared" si="2"/>
        <v>34918.048600000002</v>
      </c>
      <c r="E185" s="35"/>
      <c r="F185" s="35"/>
      <c r="G185" s="35"/>
      <c r="H185" s="35"/>
      <c r="I185" s="35"/>
      <c r="J185" s="35"/>
      <c r="K185" s="35">
        <f>1514.19+2877</f>
        <v>4391.1900000000005</v>
      </c>
      <c r="L185" s="35"/>
      <c r="M185" s="35"/>
      <c r="N185" s="35"/>
      <c r="O185" s="35"/>
      <c r="P185" s="35"/>
      <c r="Q185" s="35"/>
      <c r="R185" s="35">
        <f>909.9216+15106.3</f>
        <v>16016.221599999999</v>
      </c>
      <c r="S185" s="35"/>
      <c r="T185" s="35">
        <v>4070.4</v>
      </c>
      <c r="U185" s="35">
        <v>661.23699999999997</v>
      </c>
      <c r="V185" s="35"/>
      <c r="W185" s="36">
        <v>9779</v>
      </c>
      <c r="X185" s="35"/>
      <c r="Y185" s="35"/>
      <c r="Z185" s="35"/>
      <c r="AA185" s="8"/>
    </row>
    <row r="186" spans="2:27" s="7" customFormat="1" ht="15.75" hidden="1" customHeight="1" x14ac:dyDescent="0.25">
      <c r="B186" s="13" t="s">
        <v>44</v>
      </c>
      <c r="C186" s="33">
        <v>101358.24</v>
      </c>
      <c r="D186" s="35">
        <f t="shared" si="2"/>
        <v>21684.759000000002</v>
      </c>
      <c r="E186" s="35"/>
      <c r="F186" s="35"/>
      <c r="G186" s="35"/>
      <c r="H186" s="35"/>
      <c r="I186" s="35"/>
      <c r="J186" s="35"/>
      <c r="K186" s="35">
        <v>1986</v>
      </c>
      <c r="L186" s="35"/>
      <c r="M186" s="35"/>
      <c r="N186" s="35"/>
      <c r="O186" s="35"/>
      <c r="P186" s="35"/>
      <c r="Q186" s="35"/>
      <c r="R186" s="35">
        <v>13786.74</v>
      </c>
      <c r="S186" s="35"/>
      <c r="T186" s="35">
        <v>4537.1000000000004</v>
      </c>
      <c r="U186" s="35">
        <v>495.91899999999998</v>
      </c>
      <c r="V186" s="35"/>
      <c r="W186" s="36">
        <v>879</v>
      </c>
      <c r="X186" s="35"/>
      <c r="Y186" s="35"/>
      <c r="Z186" s="35"/>
      <c r="AA186" s="8"/>
    </row>
    <row r="187" spans="2:27" s="7" customFormat="1" ht="15.75" hidden="1" customHeight="1" x14ac:dyDescent="0.25">
      <c r="B187" s="13" t="s">
        <v>45</v>
      </c>
      <c r="C187" s="33">
        <v>86964.84</v>
      </c>
      <c r="D187" s="35">
        <f t="shared" si="2"/>
        <v>110069.08</v>
      </c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>
        <v>19540</v>
      </c>
      <c r="Q187" s="35"/>
      <c r="R187" s="35">
        <f>13084.3+24350.48+5174.3+47920</f>
        <v>90529.08</v>
      </c>
      <c r="S187" s="35"/>
      <c r="T187" s="35"/>
      <c r="U187" s="35"/>
      <c r="V187" s="35"/>
      <c r="W187" s="36"/>
      <c r="X187" s="35"/>
      <c r="Y187" s="35"/>
      <c r="Z187" s="35"/>
      <c r="AA187" s="8"/>
    </row>
    <row r="188" spans="2:27" s="7" customFormat="1" ht="15.75" hidden="1" customHeight="1" x14ac:dyDescent="0.25">
      <c r="B188" s="13" t="s">
        <v>46</v>
      </c>
      <c r="C188" s="33">
        <v>96914.04</v>
      </c>
      <c r="D188" s="35">
        <f t="shared" si="2"/>
        <v>55938.06</v>
      </c>
      <c r="E188" s="35"/>
      <c r="F188" s="35"/>
      <c r="G188" s="35"/>
      <c r="H188" s="35">
        <v>548.05999999999995</v>
      </c>
      <c r="I188" s="35"/>
      <c r="J188" s="35"/>
      <c r="K188" s="35">
        <v>615</v>
      </c>
      <c r="L188" s="35">
        <v>52396</v>
      </c>
      <c r="M188" s="35">
        <v>2379</v>
      </c>
      <c r="N188" s="35"/>
      <c r="O188" s="35"/>
      <c r="P188" s="35"/>
      <c r="Q188" s="35"/>
      <c r="R188" s="35"/>
      <c r="S188" s="35"/>
      <c r="T188" s="35"/>
      <c r="U188" s="35"/>
      <c r="V188" s="35"/>
      <c r="W188" s="36"/>
      <c r="X188" s="35"/>
      <c r="Y188" s="35"/>
      <c r="Z188" s="35"/>
      <c r="AA188" s="8"/>
    </row>
    <row r="189" spans="2:27" s="7" customFormat="1" ht="15.75" hidden="1" customHeight="1" x14ac:dyDescent="0.25">
      <c r="B189" s="13" t="s">
        <v>47</v>
      </c>
      <c r="C189" s="33">
        <v>207194.28</v>
      </c>
      <c r="D189" s="35">
        <f t="shared" si="2"/>
        <v>12327.16</v>
      </c>
      <c r="E189" s="35"/>
      <c r="F189" s="35"/>
      <c r="G189" s="35"/>
      <c r="H189" s="35"/>
      <c r="I189" s="35"/>
      <c r="J189" s="35"/>
      <c r="K189" s="35">
        <f>990+5959+3812.5</f>
        <v>10761.5</v>
      </c>
      <c r="L189" s="35"/>
      <c r="M189" s="35"/>
      <c r="N189" s="35"/>
      <c r="O189" s="35">
        <v>338.66</v>
      </c>
      <c r="P189" s="35"/>
      <c r="Q189" s="35"/>
      <c r="R189" s="35"/>
      <c r="S189" s="35"/>
      <c r="T189" s="35"/>
      <c r="U189" s="35"/>
      <c r="V189" s="35"/>
      <c r="W189" s="36">
        <v>1227</v>
      </c>
      <c r="X189" s="35"/>
      <c r="Y189" s="35"/>
      <c r="Z189" s="35"/>
      <c r="AA189" s="8"/>
    </row>
    <row r="190" spans="2:27" s="7" customFormat="1" ht="15.75" hidden="1" customHeight="1" x14ac:dyDescent="0.25">
      <c r="B190" s="13" t="s">
        <v>291</v>
      </c>
      <c r="C190" s="33">
        <v>435265.2</v>
      </c>
      <c r="D190" s="35">
        <f t="shared" si="2"/>
        <v>32995.56</v>
      </c>
      <c r="E190" s="35"/>
      <c r="F190" s="35"/>
      <c r="G190" s="35"/>
      <c r="H190" s="35">
        <v>7302</v>
      </c>
      <c r="I190" s="35"/>
      <c r="J190" s="35"/>
      <c r="K190" s="35">
        <f>4776.44+993.56</f>
        <v>5770</v>
      </c>
      <c r="L190" s="35">
        <f>734.22+668</f>
        <v>1402.22</v>
      </c>
      <c r="M190" s="35"/>
      <c r="N190" s="35"/>
      <c r="O190" s="35"/>
      <c r="P190" s="35"/>
      <c r="Q190" s="35"/>
      <c r="R190" s="35">
        <v>6788.82</v>
      </c>
      <c r="S190" s="35"/>
      <c r="T190" s="35"/>
      <c r="U190" s="35">
        <v>3943.35</v>
      </c>
      <c r="V190" s="35">
        <f>2545.13+3082.16</f>
        <v>5627.29</v>
      </c>
      <c r="W190" s="36">
        <f>1081+1080.88</f>
        <v>2161.88</v>
      </c>
      <c r="X190" s="35"/>
      <c r="Y190" s="35"/>
      <c r="Z190" s="35"/>
      <c r="AA190" s="8"/>
    </row>
    <row r="191" spans="2:27" s="7" customFormat="1" ht="15.75" hidden="1" customHeight="1" x14ac:dyDescent="0.25">
      <c r="B191" s="13" t="s">
        <v>48</v>
      </c>
      <c r="C191" s="33">
        <v>231878.04</v>
      </c>
      <c r="D191" s="35">
        <f t="shared" si="2"/>
        <v>28529.800000000003</v>
      </c>
      <c r="E191" s="35"/>
      <c r="F191" s="35"/>
      <c r="G191" s="35"/>
      <c r="H191" s="35">
        <v>1892.61</v>
      </c>
      <c r="I191" s="35"/>
      <c r="J191" s="35"/>
      <c r="K191" s="35">
        <f>4747.96+3835.28</f>
        <v>8583.24</v>
      </c>
      <c r="L191" s="35">
        <v>5341.12</v>
      </c>
      <c r="M191" s="35"/>
      <c r="N191" s="35"/>
      <c r="O191" s="35"/>
      <c r="P191" s="35"/>
      <c r="Q191" s="35"/>
      <c r="R191" s="35"/>
      <c r="S191" s="35"/>
      <c r="T191" s="35"/>
      <c r="U191" s="35"/>
      <c r="V191" s="35">
        <v>10550.79</v>
      </c>
      <c r="W191" s="36">
        <f>1081.16+1080.88</f>
        <v>2162.04</v>
      </c>
      <c r="X191" s="35"/>
      <c r="Y191" s="35"/>
      <c r="Z191" s="35"/>
      <c r="AA191" s="8"/>
    </row>
    <row r="192" spans="2:27" s="20" customFormat="1" ht="15.75" hidden="1" customHeight="1" x14ac:dyDescent="0.25">
      <c r="B192" s="18" t="s">
        <v>49</v>
      </c>
      <c r="C192" s="34">
        <v>262310.40000000002</v>
      </c>
      <c r="D192" s="35">
        <f t="shared" si="2"/>
        <v>18662.941600000002</v>
      </c>
      <c r="E192" s="38"/>
      <c r="F192" s="38"/>
      <c r="G192" s="38"/>
      <c r="H192" s="38"/>
      <c r="I192" s="38"/>
      <c r="J192" s="38"/>
      <c r="K192" s="38">
        <v>7087.73</v>
      </c>
      <c r="L192" s="38"/>
      <c r="M192" s="38"/>
      <c r="N192" s="38"/>
      <c r="O192" s="38">
        <v>1233.0999999999999</v>
      </c>
      <c r="P192" s="38"/>
      <c r="Q192" s="38"/>
      <c r="R192" s="38"/>
      <c r="S192" s="38"/>
      <c r="T192" s="38"/>
      <c r="U192" s="38">
        <f>3520.11+2263</f>
        <v>5783.1100000000006</v>
      </c>
      <c r="V192" s="38">
        <f>57.9616+2339</f>
        <v>2396.9616000000001</v>
      </c>
      <c r="W192" s="39">
        <f>1081.16+1080.88</f>
        <v>2162.04</v>
      </c>
      <c r="X192" s="38"/>
      <c r="Y192" s="38"/>
      <c r="Z192" s="38"/>
      <c r="AA192" s="19"/>
    </row>
    <row r="193" spans="2:27" s="7" customFormat="1" ht="15.75" hidden="1" customHeight="1" x14ac:dyDescent="0.25">
      <c r="B193" s="13" t="s">
        <v>50</v>
      </c>
      <c r="C193" s="33">
        <v>110976.84</v>
      </c>
      <c r="D193" s="35">
        <f t="shared" si="2"/>
        <v>8132.348</v>
      </c>
      <c r="E193" s="35"/>
      <c r="F193" s="35"/>
      <c r="G193" s="35"/>
      <c r="H193" s="35"/>
      <c r="I193" s="35"/>
      <c r="J193" s="35"/>
      <c r="K193" s="35">
        <v>993.08799999999997</v>
      </c>
      <c r="L193" s="35"/>
      <c r="M193" s="35"/>
      <c r="N193" s="35"/>
      <c r="O193" s="35">
        <v>2158.2199999999998</v>
      </c>
      <c r="P193" s="35"/>
      <c r="Q193" s="35"/>
      <c r="R193" s="35"/>
      <c r="S193" s="35"/>
      <c r="T193" s="35"/>
      <c r="U193" s="35"/>
      <c r="V193" s="35">
        <v>2819</v>
      </c>
      <c r="W193" s="36">
        <f>1081.16+1080.88</f>
        <v>2162.04</v>
      </c>
      <c r="X193" s="35"/>
      <c r="Y193" s="35"/>
      <c r="Z193" s="35"/>
      <c r="AA193" s="8"/>
    </row>
    <row r="194" spans="2:27" s="7" customFormat="1" ht="15.75" hidden="1" customHeight="1" x14ac:dyDescent="0.25">
      <c r="B194" s="13" t="s">
        <v>51</v>
      </c>
      <c r="C194" s="33">
        <v>116048.76</v>
      </c>
      <c r="D194" s="35">
        <f t="shared" si="2"/>
        <v>4404.95</v>
      </c>
      <c r="E194" s="35"/>
      <c r="F194" s="35"/>
      <c r="G194" s="35"/>
      <c r="H194" s="35"/>
      <c r="I194" s="35"/>
      <c r="J194" s="35"/>
      <c r="K194" s="35">
        <v>378.78</v>
      </c>
      <c r="L194" s="35">
        <v>466</v>
      </c>
      <c r="M194" s="35"/>
      <c r="N194" s="35"/>
      <c r="O194" s="35"/>
      <c r="P194" s="35"/>
      <c r="Q194" s="35"/>
      <c r="R194" s="35"/>
      <c r="S194" s="35"/>
      <c r="T194" s="35"/>
      <c r="U194" s="35">
        <v>1398.29</v>
      </c>
      <c r="V194" s="35"/>
      <c r="W194" s="36">
        <f>1080.88+1081</f>
        <v>2161.88</v>
      </c>
      <c r="X194" s="35"/>
      <c r="Y194" s="35"/>
      <c r="Z194" s="35"/>
      <c r="AA194" s="8"/>
    </row>
    <row r="195" spans="2:27" s="7" customFormat="1" ht="15.75" hidden="1" customHeight="1" x14ac:dyDescent="0.25">
      <c r="B195" s="13" t="s">
        <v>52</v>
      </c>
      <c r="C195" s="33">
        <v>83752.92</v>
      </c>
      <c r="D195" s="35">
        <f t="shared" si="2"/>
        <v>13843.15</v>
      </c>
      <c r="E195" s="35"/>
      <c r="F195" s="35"/>
      <c r="G195" s="35"/>
      <c r="H195" s="35"/>
      <c r="I195" s="35"/>
      <c r="J195" s="35"/>
      <c r="K195" s="35">
        <v>5823.15</v>
      </c>
      <c r="L195" s="35"/>
      <c r="M195" s="35"/>
      <c r="N195" s="35"/>
      <c r="O195" s="35"/>
      <c r="P195" s="35"/>
      <c r="Q195" s="35"/>
      <c r="R195" s="35">
        <v>5858</v>
      </c>
      <c r="S195" s="35"/>
      <c r="T195" s="35"/>
      <c r="U195" s="35"/>
      <c r="V195" s="35"/>
      <c r="W195" s="36">
        <f>1081+1081</f>
        <v>2162</v>
      </c>
      <c r="X195" s="35"/>
      <c r="Y195" s="35"/>
      <c r="Z195" s="35"/>
      <c r="AA195" s="8"/>
    </row>
    <row r="196" spans="2:27" s="7" customFormat="1" ht="15.75" hidden="1" customHeight="1" x14ac:dyDescent="0.25">
      <c r="B196" s="12" t="s">
        <v>53</v>
      </c>
      <c r="C196" s="33">
        <v>505711.92</v>
      </c>
      <c r="D196" s="35">
        <f t="shared" si="2"/>
        <v>47229.98599999999</v>
      </c>
      <c r="E196" s="35"/>
      <c r="F196" s="35"/>
      <c r="G196" s="35"/>
      <c r="H196" s="35"/>
      <c r="I196" s="35"/>
      <c r="J196" s="35"/>
      <c r="K196" s="35">
        <v>6955.39</v>
      </c>
      <c r="L196" s="35">
        <f>13058.1+752.946+367.11+19855.42</f>
        <v>34033.576000000001</v>
      </c>
      <c r="M196" s="35"/>
      <c r="N196" s="35"/>
      <c r="O196" s="35"/>
      <c r="P196" s="35"/>
      <c r="Q196" s="35"/>
      <c r="R196" s="35">
        <v>1255.52</v>
      </c>
      <c r="S196" s="35"/>
      <c r="T196" s="35"/>
      <c r="U196" s="35">
        <v>3411.38</v>
      </c>
      <c r="V196" s="35">
        <v>493.24</v>
      </c>
      <c r="W196" s="36">
        <v>1080.8800000000001</v>
      </c>
      <c r="X196" s="35"/>
      <c r="Y196" s="35"/>
      <c r="Z196" s="35"/>
      <c r="AA196" s="8"/>
    </row>
    <row r="197" spans="2:27" s="7" customFormat="1" ht="18.75" hidden="1" customHeight="1" x14ac:dyDescent="0.25">
      <c r="B197" s="13" t="s">
        <v>54</v>
      </c>
      <c r="C197" s="33">
        <v>51742.8</v>
      </c>
      <c r="D197" s="35">
        <f t="shared" si="2"/>
        <v>6040.79</v>
      </c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>
        <v>6040.79</v>
      </c>
      <c r="V197" s="35"/>
      <c r="W197" s="36"/>
      <c r="X197" s="35"/>
      <c r="Y197" s="35"/>
      <c r="Z197" s="35"/>
      <c r="AA197" s="8"/>
    </row>
    <row r="198" spans="2:27" s="7" customFormat="1" ht="15.75" hidden="1" customHeight="1" x14ac:dyDescent="0.25">
      <c r="B198" s="12" t="s">
        <v>55</v>
      </c>
      <c r="C198" s="33">
        <v>90345.96</v>
      </c>
      <c r="D198" s="35">
        <f t="shared" si="2"/>
        <v>20258.900000000001</v>
      </c>
      <c r="E198" s="35"/>
      <c r="F198" s="35"/>
      <c r="G198" s="35"/>
      <c r="H198" s="35"/>
      <c r="I198" s="35"/>
      <c r="J198" s="35"/>
      <c r="K198" s="35">
        <v>20258.900000000001</v>
      </c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6"/>
      <c r="X198" s="35"/>
      <c r="Y198" s="35"/>
      <c r="Z198" s="35"/>
      <c r="AA198" s="8"/>
    </row>
    <row r="199" spans="2:27" s="7" customFormat="1" ht="15.75" hidden="1" customHeight="1" x14ac:dyDescent="0.25">
      <c r="B199" s="12" t="s">
        <v>56</v>
      </c>
      <c r="C199" s="33">
        <v>276624.96000000002</v>
      </c>
      <c r="D199" s="35">
        <f t="shared" si="2"/>
        <v>3697.8900000000003</v>
      </c>
      <c r="E199" s="35"/>
      <c r="F199" s="35"/>
      <c r="G199" s="35"/>
      <c r="H199" s="35"/>
      <c r="I199" s="35"/>
      <c r="J199" s="35"/>
      <c r="K199" s="35">
        <v>1926</v>
      </c>
      <c r="L199" s="35"/>
      <c r="M199" s="35"/>
      <c r="N199" s="35"/>
      <c r="O199" s="35"/>
      <c r="P199" s="35"/>
      <c r="Q199" s="35"/>
      <c r="R199" s="35"/>
      <c r="S199" s="35"/>
      <c r="T199" s="35">
        <v>691.01</v>
      </c>
      <c r="U199" s="35"/>
      <c r="V199" s="35"/>
      <c r="W199" s="36">
        <v>1080.8800000000001</v>
      </c>
      <c r="X199" s="35"/>
      <c r="Y199" s="35"/>
      <c r="Z199" s="35"/>
      <c r="AA199" s="8"/>
    </row>
    <row r="200" spans="2:27" s="7" customFormat="1" ht="15.75" hidden="1" customHeight="1" x14ac:dyDescent="0.25">
      <c r="B200" s="12" t="s">
        <v>57</v>
      </c>
      <c r="C200" s="33">
        <v>191673.36</v>
      </c>
      <c r="D200" s="35">
        <f t="shared" si="2"/>
        <v>1600</v>
      </c>
      <c r="E200" s="35"/>
      <c r="F200" s="35"/>
      <c r="G200" s="35"/>
      <c r="H200" s="35">
        <v>1232.52</v>
      </c>
      <c r="I200" s="35"/>
      <c r="J200" s="35"/>
      <c r="K200" s="35"/>
      <c r="L200" s="35">
        <v>367.48</v>
      </c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6"/>
      <c r="X200" s="35"/>
      <c r="Y200" s="35"/>
      <c r="Z200" s="35"/>
      <c r="AA200" s="8"/>
    </row>
    <row r="201" spans="2:27" s="7" customFormat="1" ht="15.75" hidden="1" customHeight="1" x14ac:dyDescent="0.25">
      <c r="B201" s="12" t="s">
        <v>58</v>
      </c>
      <c r="C201" s="33">
        <v>107527.2</v>
      </c>
      <c r="D201" s="35">
        <f t="shared" si="2"/>
        <v>255842.90899999999</v>
      </c>
      <c r="E201" s="35"/>
      <c r="F201" s="35">
        <v>118501</v>
      </c>
      <c r="G201" s="35"/>
      <c r="H201" s="35"/>
      <c r="I201" s="35"/>
      <c r="J201" s="35"/>
      <c r="K201" s="35">
        <v>2909</v>
      </c>
      <c r="L201" s="35">
        <f>13580.43+376.479</f>
        <v>13956.909</v>
      </c>
      <c r="M201" s="35"/>
      <c r="N201" s="35"/>
      <c r="O201" s="35">
        <v>115956</v>
      </c>
      <c r="P201" s="35"/>
      <c r="Q201" s="35"/>
      <c r="R201" s="35"/>
      <c r="S201" s="35"/>
      <c r="T201" s="35"/>
      <c r="U201" s="35"/>
      <c r="V201" s="35"/>
      <c r="W201" s="36">
        <v>4520</v>
      </c>
      <c r="X201" s="35"/>
      <c r="Y201" s="35"/>
      <c r="Z201" s="35"/>
      <c r="AA201" s="8"/>
    </row>
    <row r="202" spans="2:27" s="7" customFormat="1" ht="15.75" hidden="1" customHeight="1" x14ac:dyDescent="0.25">
      <c r="B202" s="13" t="s">
        <v>59</v>
      </c>
      <c r="C202" s="33">
        <v>357966.72</v>
      </c>
      <c r="D202" s="35">
        <f t="shared" si="2"/>
        <v>42792.590000000004</v>
      </c>
      <c r="E202" s="35"/>
      <c r="F202" s="35"/>
      <c r="G202" s="35"/>
      <c r="H202" s="35">
        <v>1679.61</v>
      </c>
      <c r="I202" s="35"/>
      <c r="J202" s="35"/>
      <c r="K202" s="35">
        <f>6138.51+565</f>
        <v>6703.51</v>
      </c>
      <c r="L202" s="35">
        <f>293.16+376.48</f>
        <v>669.6400000000001</v>
      </c>
      <c r="M202" s="35">
        <v>2973</v>
      </c>
      <c r="N202" s="35"/>
      <c r="O202" s="35"/>
      <c r="P202" s="35"/>
      <c r="Q202" s="35"/>
      <c r="R202" s="35"/>
      <c r="S202" s="35"/>
      <c r="T202" s="35">
        <f>4081.83+17145</f>
        <v>21226.83</v>
      </c>
      <c r="U202" s="35"/>
      <c r="V202" s="35">
        <v>9540</v>
      </c>
      <c r="W202" s="36"/>
      <c r="X202" s="35"/>
      <c r="Y202" s="35"/>
      <c r="Z202" s="35"/>
      <c r="AA202" s="8"/>
    </row>
    <row r="203" spans="2:27" s="7" customFormat="1" ht="15.75" hidden="1" customHeight="1" x14ac:dyDescent="0.25">
      <c r="B203" s="13" t="s">
        <v>60</v>
      </c>
      <c r="C203" s="33">
        <v>84717.36</v>
      </c>
      <c r="D203" s="35">
        <f t="shared" si="2"/>
        <v>15258</v>
      </c>
      <c r="E203" s="35"/>
      <c r="F203" s="35"/>
      <c r="G203" s="35"/>
      <c r="H203" s="35"/>
      <c r="I203" s="35"/>
      <c r="J203" s="35"/>
      <c r="K203" s="35">
        <v>1277</v>
      </c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>
        <v>13981</v>
      </c>
      <c r="W203" s="36"/>
      <c r="X203" s="35"/>
      <c r="Y203" s="35"/>
      <c r="Z203" s="35"/>
      <c r="AA203" s="8"/>
    </row>
    <row r="204" spans="2:27" s="7" customFormat="1" ht="15.75" hidden="1" customHeight="1" x14ac:dyDescent="0.25">
      <c r="B204" s="13" t="s">
        <v>61</v>
      </c>
      <c r="C204" s="33">
        <v>217966.32</v>
      </c>
      <c r="D204" s="35">
        <f t="shared" si="2"/>
        <v>28686.079999999998</v>
      </c>
      <c r="E204" s="35"/>
      <c r="F204" s="35"/>
      <c r="G204" s="35"/>
      <c r="H204" s="35">
        <v>1679.61</v>
      </c>
      <c r="I204" s="35"/>
      <c r="J204" s="35"/>
      <c r="K204" s="35">
        <v>6997.54</v>
      </c>
      <c r="L204" s="35"/>
      <c r="M204" s="35">
        <f>5373.34+1189</f>
        <v>6562.34</v>
      </c>
      <c r="N204" s="35"/>
      <c r="O204" s="35"/>
      <c r="P204" s="35"/>
      <c r="Q204" s="35"/>
      <c r="R204" s="35"/>
      <c r="S204" s="35"/>
      <c r="T204" s="35">
        <v>4554.99</v>
      </c>
      <c r="U204" s="35">
        <v>3223.76</v>
      </c>
      <c r="V204" s="35">
        <f>606.84+5061</f>
        <v>5667.84</v>
      </c>
      <c r="W204" s="36"/>
      <c r="X204" s="35"/>
      <c r="Y204" s="35"/>
      <c r="Z204" s="35"/>
      <c r="AA204" s="8"/>
    </row>
    <row r="205" spans="2:27" s="7" customFormat="1" ht="15.75" hidden="1" customHeight="1" x14ac:dyDescent="0.25">
      <c r="B205" s="13" t="s">
        <v>62</v>
      </c>
      <c r="C205" s="33">
        <v>24353.52</v>
      </c>
      <c r="D205" s="35">
        <f t="shared" ref="D205:D267" si="3">E205+F205+H205+I205+J205+K205+L205+M205+O205+P205+Q205+R205+S205+T205+U205+V205+W205+X205+Y205+Z205+G205</f>
        <v>0</v>
      </c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6"/>
      <c r="X205" s="35"/>
      <c r="Y205" s="35"/>
      <c r="Z205" s="35"/>
      <c r="AA205" s="8"/>
    </row>
    <row r="206" spans="2:27" s="7" customFormat="1" ht="15.75" hidden="1" customHeight="1" x14ac:dyDescent="0.25">
      <c r="B206" s="13" t="s">
        <v>63</v>
      </c>
      <c r="C206" s="33">
        <v>151395.96</v>
      </c>
      <c r="D206" s="35">
        <f t="shared" si="3"/>
        <v>51390.132999999994</v>
      </c>
      <c r="E206" s="35"/>
      <c r="F206" s="35"/>
      <c r="G206" s="35"/>
      <c r="H206" s="35"/>
      <c r="I206" s="35"/>
      <c r="J206" s="35"/>
      <c r="K206" s="35">
        <f>2351.97+565.255</f>
        <v>2917.2249999999999</v>
      </c>
      <c r="L206" s="35"/>
      <c r="M206" s="35">
        <v>17994.7</v>
      </c>
      <c r="N206" s="35">
        <v>5387.02</v>
      </c>
      <c r="O206" s="35"/>
      <c r="P206" s="35"/>
      <c r="Q206" s="35"/>
      <c r="R206" s="35">
        <f>2469.858+6367.28</f>
        <v>8837.137999999999</v>
      </c>
      <c r="S206" s="35"/>
      <c r="T206" s="35">
        <f>3628.39+933.38</f>
        <v>4561.7699999999995</v>
      </c>
      <c r="U206" s="35">
        <v>16530.599999999999</v>
      </c>
      <c r="V206" s="35">
        <v>548.70000000000005</v>
      </c>
      <c r="W206" s="36"/>
      <c r="X206" s="35"/>
      <c r="Y206" s="35"/>
      <c r="Z206" s="35"/>
      <c r="AA206" s="8"/>
    </row>
    <row r="207" spans="2:27" s="7" customFormat="1" ht="15.75" hidden="1" customHeight="1" x14ac:dyDescent="0.25">
      <c r="B207" s="13" t="s">
        <v>64</v>
      </c>
      <c r="C207" s="33">
        <v>224340.12</v>
      </c>
      <c r="D207" s="35">
        <f t="shared" si="3"/>
        <v>31109.314999999999</v>
      </c>
      <c r="E207" s="35"/>
      <c r="F207" s="35"/>
      <c r="G207" s="35"/>
      <c r="H207" s="35"/>
      <c r="I207" s="35"/>
      <c r="J207" s="35"/>
      <c r="K207" s="35">
        <f>114.9+565.255</f>
        <v>680.15499999999997</v>
      </c>
      <c r="L207" s="35">
        <f>638.09+367.11</f>
        <v>1005.2</v>
      </c>
      <c r="M207" s="35">
        <v>1189</v>
      </c>
      <c r="N207" s="35"/>
      <c r="O207" s="35"/>
      <c r="P207" s="35"/>
      <c r="Q207" s="35"/>
      <c r="R207" s="35"/>
      <c r="S207" s="35"/>
      <c r="T207" s="35"/>
      <c r="U207" s="35"/>
      <c r="V207" s="35">
        <v>1483.26</v>
      </c>
      <c r="W207" s="36">
        <v>4324.7</v>
      </c>
      <c r="X207" s="35"/>
      <c r="Y207" s="35"/>
      <c r="Z207" s="35">
        <v>22427</v>
      </c>
      <c r="AA207" s="8"/>
    </row>
    <row r="208" spans="2:27" s="7" customFormat="1" ht="15.75" hidden="1" customHeight="1" x14ac:dyDescent="0.25">
      <c r="B208" s="13" t="s">
        <v>65</v>
      </c>
      <c r="C208" s="33">
        <v>471188.76</v>
      </c>
      <c r="D208" s="35">
        <f t="shared" si="3"/>
        <v>275616.02</v>
      </c>
      <c r="E208" s="35"/>
      <c r="F208" s="35"/>
      <c r="G208" s="35"/>
      <c r="H208" s="35"/>
      <c r="I208" s="35">
        <v>184842</v>
      </c>
      <c r="J208" s="35"/>
      <c r="K208" s="35">
        <f>9159.46+25345.24</f>
        <v>34504.699999999997</v>
      </c>
      <c r="L208" s="35">
        <f>472.9+1787.56+367.11+1867.94</f>
        <v>4495.51</v>
      </c>
      <c r="M208" s="35">
        <v>13669.1</v>
      </c>
      <c r="N208" s="35"/>
      <c r="O208" s="35"/>
      <c r="P208" s="35"/>
      <c r="Q208" s="35"/>
      <c r="R208" s="35">
        <v>24320</v>
      </c>
      <c r="S208" s="35"/>
      <c r="T208" s="35">
        <f>2905.71+10879</f>
        <v>13784.71</v>
      </c>
      <c r="U208" s="35"/>
      <c r="V208" s="35"/>
      <c r="W208" s="36"/>
      <c r="X208" s="35"/>
      <c r="Y208" s="35"/>
      <c r="Z208" s="35"/>
      <c r="AA208" s="8"/>
    </row>
    <row r="209" spans="2:27" s="7" customFormat="1" ht="15.75" hidden="1" customHeight="1" x14ac:dyDescent="0.25">
      <c r="B209" s="13" t="s">
        <v>66</v>
      </c>
      <c r="C209" s="33">
        <v>369161.4</v>
      </c>
      <c r="D209" s="35">
        <f t="shared" si="3"/>
        <v>121979.66</v>
      </c>
      <c r="E209" s="35">
        <v>30521</v>
      </c>
      <c r="F209" s="35"/>
      <c r="G209" s="35"/>
      <c r="H209" s="35"/>
      <c r="I209" s="35"/>
      <c r="J209" s="35"/>
      <c r="K209" s="35">
        <f>1839.37+1925.89</f>
        <v>3765.26</v>
      </c>
      <c r="L209" s="35"/>
      <c r="M209" s="35">
        <v>66023.399999999994</v>
      </c>
      <c r="N209" s="35"/>
      <c r="O209" s="35"/>
      <c r="P209" s="35"/>
      <c r="Q209" s="35"/>
      <c r="R209" s="35">
        <v>17687</v>
      </c>
      <c r="S209" s="35"/>
      <c r="T209" s="35">
        <v>3983</v>
      </c>
      <c r="U209" s="35"/>
      <c r="V209" s="35"/>
      <c r="W209" s="36"/>
      <c r="X209" s="35"/>
      <c r="Y209" s="35"/>
      <c r="Z209" s="35"/>
      <c r="AA209" s="8"/>
    </row>
    <row r="210" spans="2:27" s="7" customFormat="1" ht="15.75" hidden="1" customHeight="1" x14ac:dyDescent="0.25">
      <c r="B210" s="13" t="s">
        <v>67</v>
      </c>
      <c r="C210" s="33">
        <v>322899.84000000003</v>
      </c>
      <c r="D210" s="35">
        <f t="shared" si="3"/>
        <v>63160.256999999998</v>
      </c>
      <c r="E210" s="35"/>
      <c r="F210" s="35"/>
      <c r="G210" s="35"/>
      <c r="H210" s="35"/>
      <c r="I210" s="35"/>
      <c r="J210" s="35"/>
      <c r="K210" s="35">
        <v>4488.95</v>
      </c>
      <c r="L210" s="35"/>
      <c r="M210" s="35">
        <v>20442.400000000001</v>
      </c>
      <c r="N210" s="35"/>
      <c r="O210" s="35"/>
      <c r="P210" s="35"/>
      <c r="Q210" s="35"/>
      <c r="R210" s="35">
        <f>928.117+4796.92</f>
        <v>5725.0370000000003</v>
      </c>
      <c r="S210" s="35"/>
      <c r="T210" s="35">
        <f>1729.59+691.48</f>
        <v>2421.0699999999997</v>
      </c>
      <c r="U210" s="35">
        <v>19333.8</v>
      </c>
      <c r="V210" s="35">
        <v>5777</v>
      </c>
      <c r="W210" s="36">
        <v>4972</v>
      </c>
      <c r="X210" s="35"/>
      <c r="Y210" s="35"/>
      <c r="Z210" s="35"/>
      <c r="AA210" s="8"/>
    </row>
    <row r="211" spans="2:27" s="7" customFormat="1" ht="15.75" hidden="1" customHeight="1" x14ac:dyDescent="0.25">
      <c r="B211" s="13" t="s">
        <v>68</v>
      </c>
      <c r="C211" s="33">
        <v>74359.44</v>
      </c>
      <c r="D211" s="35">
        <f t="shared" si="3"/>
        <v>0</v>
      </c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6"/>
      <c r="X211" s="35"/>
      <c r="Y211" s="35"/>
      <c r="Z211" s="35"/>
      <c r="AA211" s="8"/>
    </row>
    <row r="212" spans="2:27" s="7" customFormat="1" ht="15.75" hidden="1" customHeight="1" x14ac:dyDescent="0.25">
      <c r="B212" s="13" t="s">
        <v>69</v>
      </c>
      <c r="C212" s="33">
        <v>126380.4</v>
      </c>
      <c r="D212" s="35">
        <f t="shared" si="3"/>
        <v>8295.34</v>
      </c>
      <c r="E212" s="35"/>
      <c r="F212" s="35"/>
      <c r="G212" s="35"/>
      <c r="H212" s="35"/>
      <c r="I212" s="35"/>
      <c r="J212" s="35"/>
      <c r="K212" s="35">
        <v>4518.8900000000003</v>
      </c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6">
        <v>3776.45</v>
      </c>
      <c r="X212" s="35"/>
      <c r="Y212" s="35"/>
      <c r="Z212" s="35"/>
      <c r="AA212" s="8"/>
    </row>
    <row r="213" spans="2:27" s="7" customFormat="1" ht="15.75" hidden="1" customHeight="1" x14ac:dyDescent="0.25">
      <c r="B213" s="13" t="s">
        <v>70</v>
      </c>
      <c r="C213" s="33">
        <v>98946.6</v>
      </c>
      <c r="D213" s="35">
        <f t="shared" si="3"/>
        <v>5488.4</v>
      </c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>
        <v>4796.92</v>
      </c>
      <c r="S213" s="35"/>
      <c r="T213" s="35">
        <v>691.48</v>
      </c>
      <c r="U213" s="35"/>
      <c r="V213" s="35"/>
      <c r="W213" s="36"/>
      <c r="X213" s="35"/>
      <c r="Y213" s="35"/>
      <c r="Z213" s="35"/>
      <c r="AA213" s="8"/>
    </row>
    <row r="214" spans="2:27" s="7" customFormat="1" ht="15.75" hidden="1" customHeight="1" x14ac:dyDescent="0.25">
      <c r="B214" s="13" t="s">
        <v>71</v>
      </c>
      <c r="C214" s="33">
        <v>76962.720000000001</v>
      </c>
      <c r="D214" s="35">
        <f t="shared" si="3"/>
        <v>9157.0499999999993</v>
      </c>
      <c r="E214" s="35"/>
      <c r="F214" s="35"/>
      <c r="G214" s="35"/>
      <c r="H214" s="35"/>
      <c r="I214" s="35"/>
      <c r="J214" s="35"/>
      <c r="K214" s="35"/>
      <c r="L214" s="35"/>
      <c r="M214" s="35">
        <v>3181</v>
      </c>
      <c r="N214" s="35"/>
      <c r="O214" s="35"/>
      <c r="P214" s="35"/>
      <c r="Q214" s="35"/>
      <c r="R214" s="35"/>
      <c r="S214" s="35"/>
      <c r="T214" s="35"/>
      <c r="U214" s="35">
        <v>5976.05</v>
      </c>
      <c r="V214" s="35"/>
      <c r="W214" s="36"/>
      <c r="X214" s="35"/>
      <c r="Y214" s="35"/>
      <c r="Z214" s="35"/>
      <c r="AA214" s="8"/>
    </row>
    <row r="215" spans="2:27" s="7" customFormat="1" ht="15.75" hidden="1" customHeight="1" x14ac:dyDescent="0.25">
      <c r="B215" s="13" t="s">
        <v>72</v>
      </c>
      <c r="C215" s="33">
        <v>99974.52</v>
      </c>
      <c r="D215" s="35">
        <f t="shared" si="3"/>
        <v>8639.17</v>
      </c>
      <c r="E215" s="35"/>
      <c r="F215" s="35"/>
      <c r="G215" s="35"/>
      <c r="H215" s="35"/>
      <c r="I215" s="35"/>
      <c r="J215" s="35"/>
      <c r="K215" s="35"/>
      <c r="L215" s="35">
        <f>57.48+319</f>
        <v>376.48</v>
      </c>
      <c r="M215" s="35"/>
      <c r="N215" s="35"/>
      <c r="O215" s="35"/>
      <c r="P215" s="35"/>
      <c r="Q215" s="35"/>
      <c r="R215" s="35">
        <v>6879.02</v>
      </c>
      <c r="S215" s="35"/>
      <c r="T215" s="35">
        <v>1383.67</v>
      </c>
      <c r="U215" s="35"/>
      <c r="V215" s="35"/>
      <c r="W215" s="36"/>
      <c r="X215" s="35"/>
      <c r="Y215" s="35"/>
      <c r="Z215" s="35"/>
      <c r="AA215" s="8"/>
    </row>
    <row r="216" spans="2:27" s="7" customFormat="1" ht="15.75" hidden="1" customHeight="1" x14ac:dyDescent="0.25">
      <c r="B216" s="13" t="s">
        <v>73</v>
      </c>
      <c r="C216" s="33">
        <v>193824.6</v>
      </c>
      <c r="D216" s="35">
        <f t="shared" si="3"/>
        <v>165693.83600000001</v>
      </c>
      <c r="E216" s="35"/>
      <c r="F216" s="35"/>
      <c r="G216" s="35"/>
      <c r="H216" s="35"/>
      <c r="I216" s="35"/>
      <c r="J216" s="35"/>
      <c r="K216" s="35"/>
      <c r="L216" s="35"/>
      <c r="M216" s="35">
        <f>705.57+7179</f>
        <v>7884.57</v>
      </c>
      <c r="N216" s="35"/>
      <c r="O216" s="35"/>
      <c r="P216" s="35"/>
      <c r="Q216" s="35"/>
      <c r="R216" s="35">
        <f>5038.91+5383</f>
        <v>10421.91</v>
      </c>
      <c r="S216" s="35"/>
      <c r="T216" s="35">
        <v>170.15600000000001</v>
      </c>
      <c r="U216" s="35"/>
      <c r="V216" s="35">
        <v>2000.48</v>
      </c>
      <c r="W216" s="36"/>
      <c r="X216" s="35"/>
      <c r="Y216" s="35">
        <v>145216.72</v>
      </c>
      <c r="Z216" s="35"/>
      <c r="AA216" s="8"/>
    </row>
    <row r="217" spans="2:27" s="7" customFormat="1" ht="15.75" hidden="1" customHeight="1" x14ac:dyDescent="0.25">
      <c r="B217" s="13" t="s">
        <v>74</v>
      </c>
      <c r="C217" s="33">
        <v>294621.48</v>
      </c>
      <c r="D217" s="35">
        <f t="shared" si="3"/>
        <v>14357.46</v>
      </c>
      <c r="E217" s="35"/>
      <c r="F217" s="35"/>
      <c r="G217" s="35"/>
      <c r="H217" s="35"/>
      <c r="I217" s="35"/>
      <c r="J217" s="35"/>
      <c r="K217" s="35">
        <f>3288.66+9443.8</f>
        <v>12732.46</v>
      </c>
      <c r="L217" s="35"/>
      <c r="M217" s="35"/>
      <c r="N217" s="35"/>
      <c r="O217" s="35"/>
      <c r="P217" s="35"/>
      <c r="Q217" s="35"/>
      <c r="R217" s="35">
        <v>1625</v>
      </c>
      <c r="S217" s="35"/>
      <c r="T217" s="35"/>
      <c r="U217" s="35"/>
      <c r="V217" s="35"/>
      <c r="W217" s="36"/>
      <c r="X217" s="35"/>
      <c r="Y217" s="35"/>
      <c r="Z217" s="35"/>
      <c r="AA217" s="8"/>
    </row>
    <row r="218" spans="2:27" s="7" customFormat="1" ht="15.75" hidden="1" customHeight="1" x14ac:dyDescent="0.25">
      <c r="B218" s="13" t="s">
        <v>75</v>
      </c>
      <c r="C218" s="33">
        <v>94798.8</v>
      </c>
      <c r="D218" s="35">
        <f t="shared" si="3"/>
        <v>20884.330000000002</v>
      </c>
      <c r="E218" s="35"/>
      <c r="F218" s="35"/>
      <c r="G218" s="35"/>
      <c r="H218" s="35"/>
      <c r="I218" s="35"/>
      <c r="J218" s="35"/>
      <c r="K218" s="35">
        <v>9037.07</v>
      </c>
      <c r="L218" s="35"/>
      <c r="M218" s="35">
        <v>6668.26</v>
      </c>
      <c r="N218" s="35"/>
      <c r="O218" s="35"/>
      <c r="P218" s="35"/>
      <c r="Q218" s="35"/>
      <c r="R218" s="35">
        <v>5179</v>
      </c>
      <c r="S218" s="35"/>
      <c r="T218" s="35"/>
      <c r="U218" s="35"/>
      <c r="V218" s="35"/>
      <c r="W218" s="36"/>
      <c r="X218" s="35"/>
      <c r="Y218" s="35"/>
      <c r="Z218" s="35"/>
      <c r="AA218" s="8"/>
    </row>
    <row r="219" spans="2:27" s="7" customFormat="1" ht="15.75" hidden="1" customHeight="1" x14ac:dyDescent="0.25">
      <c r="B219" s="13" t="s">
        <v>76</v>
      </c>
      <c r="C219" s="33">
        <v>279716.88</v>
      </c>
      <c r="D219" s="35">
        <f t="shared" si="3"/>
        <v>188464.747</v>
      </c>
      <c r="E219" s="35"/>
      <c r="F219" s="35"/>
      <c r="G219" s="35"/>
      <c r="H219" s="35"/>
      <c r="I219" s="35"/>
      <c r="J219" s="35"/>
      <c r="K219" s="35"/>
      <c r="L219" s="35">
        <v>13002.68</v>
      </c>
      <c r="M219" s="35">
        <v>6567.14</v>
      </c>
      <c r="N219" s="35"/>
      <c r="O219" s="35"/>
      <c r="P219" s="35">
        <v>4309.6670000000004</v>
      </c>
      <c r="Q219" s="35"/>
      <c r="R219" s="35">
        <f>2273.6+7439</f>
        <v>9712.6</v>
      </c>
      <c r="S219" s="35"/>
      <c r="T219" s="35">
        <v>691.48</v>
      </c>
      <c r="U219" s="35">
        <v>8265.9</v>
      </c>
      <c r="V219" s="35"/>
      <c r="W219" s="36"/>
      <c r="X219" s="35"/>
      <c r="Y219" s="35">
        <v>145915.28</v>
      </c>
      <c r="Z219" s="35"/>
      <c r="AA219" s="8"/>
    </row>
    <row r="220" spans="2:27" s="7" customFormat="1" ht="15.75" hidden="1" customHeight="1" x14ac:dyDescent="0.25">
      <c r="B220" s="13" t="s">
        <v>77</v>
      </c>
      <c r="C220" s="33">
        <v>105705.36</v>
      </c>
      <c r="D220" s="35">
        <f t="shared" si="3"/>
        <v>163066.26999999999</v>
      </c>
      <c r="E220" s="35"/>
      <c r="F220" s="35"/>
      <c r="G220" s="35"/>
      <c r="H220" s="35">
        <v>894</v>
      </c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>
        <v>1499.53</v>
      </c>
      <c r="V220" s="35"/>
      <c r="W220" s="36"/>
      <c r="X220" s="35"/>
      <c r="Y220" s="35">
        <v>160672.74</v>
      </c>
      <c r="Z220" s="35"/>
      <c r="AA220" s="8"/>
    </row>
    <row r="221" spans="2:27" s="7" customFormat="1" ht="15.75" hidden="1" customHeight="1" x14ac:dyDescent="0.25">
      <c r="B221" s="13" t="s">
        <v>78</v>
      </c>
      <c r="C221" s="33">
        <v>47409.24</v>
      </c>
      <c r="D221" s="35">
        <f t="shared" si="3"/>
        <v>3816</v>
      </c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>
        <v>193</v>
      </c>
      <c r="U221" s="35">
        <v>3623</v>
      </c>
      <c r="V221" s="35"/>
      <c r="W221" s="36"/>
      <c r="X221" s="35"/>
      <c r="Y221" s="35"/>
      <c r="Z221" s="35"/>
      <c r="AA221" s="8"/>
    </row>
    <row r="222" spans="2:27" s="7" customFormat="1" ht="15.75" hidden="1" customHeight="1" x14ac:dyDescent="0.25">
      <c r="B222" s="13" t="s">
        <v>79</v>
      </c>
      <c r="C222" s="33">
        <v>132392.64000000001</v>
      </c>
      <c r="D222" s="35">
        <f t="shared" si="3"/>
        <v>24156.554</v>
      </c>
      <c r="E222" s="35"/>
      <c r="F222" s="35"/>
      <c r="G222" s="35"/>
      <c r="H222" s="35"/>
      <c r="I222" s="35"/>
      <c r="J222" s="35"/>
      <c r="K222" s="35">
        <v>1130.51</v>
      </c>
      <c r="L222" s="35"/>
      <c r="M222" s="35"/>
      <c r="N222" s="35"/>
      <c r="O222" s="35"/>
      <c r="P222" s="35"/>
      <c r="Q222" s="35"/>
      <c r="R222" s="35">
        <v>2413.4499999999998</v>
      </c>
      <c r="S222" s="35"/>
      <c r="T222" s="35">
        <v>691.83399999999995</v>
      </c>
      <c r="U222" s="35">
        <v>8265.9</v>
      </c>
      <c r="V222" s="35">
        <v>9766.86</v>
      </c>
      <c r="W222" s="36">
        <v>1888</v>
      </c>
      <c r="X222" s="35"/>
      <c r="Y222" s="35"/>
      <c r="Z222" s="35"/>
      <c r="AA222" s="8"/>
    </row>
    <row r="223" spans="2:27" s="7" customFormat="1" ht="15.75" hidden="1" customHeight="1" x14ac:dyDescent="0.25">
      <c r="B223" s="12" t="s">
        <v>80</v>
      </c>
      <c r="C223" s="33">
        <v>500343.87</v>
      </c>
      <c r="D223" s="35">
        <f t="shared" si="3"/>
        <v>39742.53</v>
      </c>
      <c r="E223" s="35"/>
      <c r="F223" s="35"/>
      <c r="G223" s="35"/>
      <c r="H223" s="35">
        <v>328.84</v>
      </c>
      <c r="I223" s="35"/>
      <c r="J223" s="35"/>
      <c r="K223" s="35">
        <f>3076.58+9914.68</f>
        <v>12991.26</v>
      </c>
      <c r="L223" s="35">
        <v>367.11</v>
      </c>
      <c r="M223" s="35"/>
      <c r="N223" s="35"/>
      <c r="O223" s="35"/>
      <c r="P223" s="35"/>
      <c r="Q223" s="35"/>
      <c r="R223" s="35">
        <v>20978.04</v>
      </c>
      <c r="S223" s="35"/>
      <c r="T223" s="35"/>
      <c r="U223" s="35">
        <f>2384.64+512</f>
        <v>2896.64</v>
      </c>
      <c r="V223" s="35">
        <v>2180.64</v>
      </c>
      <c r="W223" s="36"/>
      <c r="X223" s="35"/>
      <c r="Y223" s="35"/>
      <c r="Z223" s="35"/>
      <c r="AA223" s="8"/>
    </row>
    <row r="224" spans="2:27" s="7" customFormat="1" ht="15.75" hidden="1" customHeight="1" x14ac:dyDescent="0.25">
      <c r="B224" s="12" t="s">
        <v>81</v>
      </c>
      <c r="C224" s="33">
        <v>92716.83</v>
      </c>
      <c r="D224" s="35">
        <f t="shared" si="3"/>
        <v>0</v>
      </c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6"/>
      <c r="X224" s="35"/>
      <c r="Y224" s="35"/>
      <c r="Z224" s="35"/>
      <c r="AA224" s="8"/>
    </row>
    <row r="225" spans="2:27" s="7" customFormat="1" ht="15.75" hidden="1" customHeight="1" x14ac:dyDescent="0.25">
      <c r="B225" s="12" t="s">
        <v>82</v>
      </c>
      <c r="C225" s="33">
        <v>267724.3</v>
      </c>
      <c r="D225" s="35">
        <f t="shared" si="3"/>
        <v>54837.369999999995</v>
      </c>
      <c r="E225" s="35"/>
      <c r="F225" s="35"/>
      <c r="G225" s="35"/>
      <c r="H225" s="35"/>
      <c r="I225" s="35"/>
      <c r="J225" s="35"/>
      <c r="K225" s="35">
        <v>1944.01</v>
      </c>
      <c r="L225" s="35"/>
      <c r="M225" s="35"/>
      <c r="N225" s="35"/>
      <c r="O225" s="35"/>
      <c r="P225" s="35"/>
      <c r="Q225" s="35"/>
      <c r="R225" s="35">
        <v>10546.8</v>
      </c>
      <c r="S225" s="35"/>
      <c r="T225" s="35">
        <v>6501.2</v>
      </c>
      <c r="U225" s="35">
        <v>8325.93</v>
      </c>
      <c r="V225" s="35">
        <v>7678.53</v>
      </c>
      <c r="W225" s="36">
        <f>17730.92+2109.98</f>
        <v>19840.899999999998</v>
      </c>
      <c r="X225" s="35"/>
      <c r="Y225" s="35"/>
      <c r="Z225" s="35"/>
      <c r="AA225" s="8"/>
    </row>
    <row r="226" spans="2:27" s="7" customFormat="1" ht="15.75" hidden="1" customHeight="1" x14ac:dyDescent="0.25">
      <c r="B226" s="13" t="s">
        <v>83</v>
      </c>
      <c r="C226" s="33">
        <v>29448.720000000001</v>
      </c>
      <c r="D226" s="35">
        <f t="shared" si="3"/>
        <v>40113.980000000003</v>
      </c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6">
        <v>1081</v>
      </c>
      <c r="X226" s="35"/>
      <c r="Y226" s="35">
        <v>39032.980000000003</v>
      </c>
      <c r="Z226" s="35"/>
      <c r="AA226" s="8"/>
    </row>
    <row r="227" spans="2:27" s="7" customFormat="1" ht="15.75" hidden="1" customHeight="1" x14ac:dyDescent="0.25">
      <c r="B227" s="12" t="s">
        <v>84</v>
      </c>
      <c r="C227" s="33">
        <v>97859.57</v>
      </c>
      <c r="D227" s="35">
        <f t="shared" si="3"/>
        <v>244098.12</v>
      </c>
      <c r="E227" s="35"/>
      <c r="F227" s="35"/>
      <c r="G227" s="35"/>
      <c r="H227" s="35">
        <f>20140.6+264</f>
        <v>20404.599999999999</v>
      </c>
      <c r="I227" s="35"/>
      <c r="J227" s="35"/>
      <c r="K227" s="35">
        <f>1574.84+1536</f>
        <v>3110.84</v>
      </c>
      <c r="L227" s="35"/>
      <c r="M227" s="35"/>
      <c r="N227" s="35"/>
      <c r="O227" s="35"/>
      <c r="P227" s="35"/>
      <c r="Q227" s="35"/>
      <c r="R227" s="35">
        <v>4635</v>
      </c>
      <c r="S227" s="35"/>
      <c r="T227" s="35"/>
      <c r="U227" s="35"/>
      <c r="V227" s="35"/>
      <c r="W227" s="36"/>
      <c r="X227" s="35"/>
      <c r="Y227" s="35">
        <v>215947.68</v>
      </c>
      <c r="Z227" s="35"/>
      <c r="AA227" s="8"/>
    </row>
    <row r="228" spans="2:27" s="7" customFormat="1" ht="15.75" hidden="1" customHeight="1" x14ac:dyDescent="0.25">
      <c r="B228" s="13" t="s">
        <v>85</v>
      </c>
      <c r="C228" s="33">
        <v>250082.4</v>
      </c>
      <c r="D228" s="35">
        <f t="shared" si="3"/>
        <v>141314.1</v>
      </c>
      <c r="E228" s="35"/>
      <c r="F228" s="35"/>
      <c r="G228" s="35"/>
      <c r="H228" s="35">
        <v>8582.49</v>
      </c>
      <c r="I228" s="35"/>
      <c r="J228" s="35"/>
      <c r="K228" s="35">
        <v>7120</v>
      </c>
      <c r="L228" s="35">
        <v>5698.57</v>
      </c>
      <c r="M228" s="35">
        <v>2121</v>
      </c>
      <c r="N228" s="35"/>
      <c r="O228" s="35"/>
      <c r="P228" s="35">
        <v>3085</v>
      </c>
      <c r="Q228" s="35"/>
      <c r="R228" s="35"/>
      <c r="S228" s="35"/>
      <c r="T228" s="35"/>
      <c r="U228" s="35">
        <v>194.7</v>
      </c>
      <c r="V228" s="35"/>
      <c r="W228" s="36">
        <v>1080.8800000000001</v>
      </c>
      <c r="X228" s="35"/>
      <c r="Y228" s="35">
        <v>113431.46</v>
      </c>
      <c r="Z228" s="35"/>
      <c r="AA228" s="8"/>
    </row>
    <row r="229" spans="2:27" s="7" customFormat="1" ht="15.75" hidden="1" customHeight="1" x14ac:dyDescent="0.25">
      <c r="B229" s="12" t="s">
        <v>86</v>
      </c>
      <c r="C229" s="33">
        <v>70959.22</v>
      </c>
      <c r="D229" s="35">
        <f t="shared" si="3"/>
        <v>775452</v>
      </c>
      <c r="E229" s="35"/>
      <c r="F229" s="35"/>
      <c r="G229" s="35">
        <v>775150</v>
      </c>
      <c r="H229" s="35"/>
      <c r="I229" s="35"/>
      <c r="J229" s="35"/>
      <c r="K229" s="35"/>
      <c r="L229" s="35">
        <v>302</v>
      </c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6"/>
      <c r="X229" s="35"/>
      <c r="Y229" s="35"/>
      <c r="Z229" s="35"/>
      <c r="AA229" s="8"/>
    </row>
    <row r="230" spans="2:27" s="7" customFormat="1" ht="15.75" hidden="1" customHeight="1" x14ac:dyDescent="0.25">
      <c r="B230" s="13" t="s">
        <v>87</v>
      </c>
      <c r="C230" s="33">
        <v>150790.44</v>
      </c>
      <c r="D230" s="35">
        <f t="shared" si="3"/>
        <v>73714.92</v>
      </c>
      <c r="E230" s="35"/>
      <c r="F230" s="35"/>
      <c r="G230" s="35"/>
      <c r="H230" s="35">
        <v>9451.34</v>
      </c>
      <c r="I230" s="35"/>
      <c r="J230" s="35"/>
      <c r="K230" s="35">
        <v>2602.62</v>
      </c>
      <c r="L230" s="35"/>
      <c r="M230" s="35"/>
      <c r="N230" s="35"/>
      <c r="O230" s="35"/>
      <c r="P230" s="35"/>
      <c r="Q230" s="35"/>
      <c r="R230" s="35"/>
      <c r="S230" s="35"/>
      <c r="T230" s="35">
        <v>1383.67</v>
      </c>
      <c r="U230" s="35">
        <v>2611.66</v>
      </c>
      <c r="V230" s="35"/>
      <c r="W230" s="36">
        <v>1080.8800000000001</v>
      </c>
      <c r="X230" s="35"/>
      <c r="Y230" s="35">
        <v>56584.75</v>
      </c>
      <c r="Z230" s="35"/>
      <c r="AA230" s="8"/>
    </row>
    <row r="231" spans="2:27" s="7" customFormat="1" ht="15.75" hidden="1" customHeight="1" x14ac:dyDescent="0.25">
      <c r="B231" s="12" t="s">
        <v>88</v>
      </c>
      <c r="C231" s="33">
        <v>146008.97</v>
      </c>
      <c r="D231" s="35">
        <f t="shared" si="3"/>
        <v>905</v>
      </c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>
        <v>905</v>
      </c>
      <c r="V231" s="35"/>
      <c r="W231" s="36"/>
      <c r="X231" s="35"/>
      <c r="Y231" s="35"/>
      <c r="Z231" s="35"/>
      <c r="AA231" s="8"/>
    </row>
    <row r="232" spans="2:27" s="7" customFormat="1" ht="15.75" hidden="1" customHeight="1" x14ac:dyDescent="0.25">
      <c r="B232" s="12" t="s">
        <v>89</v>
      </c>
      <c r="C232" s="33">
        <v>115274.03</v>
      </c>
      <c r="D232" s="35">
        <f t="shared" si="3"/>
        <v>28881.419000000002</v>
      </c>
      <c r="E232" s="35">
        <v>2380</v>
      </c>
      <c r="F232" s="35"/>
      <c r="G232" s="35"/>
      <c r="H232" s="35"/>
      <c r="I232" s="35"/>
      <c r="J232" s="35"/>
      <c r="K232" s="35"/>
      <c r="L232" s="35"/>
      <c r="M232" s="35">
        <v>17110</v>
      </c>
      <c r="N232" s="35"/>
      <c r="O232" s="35"/>
      <c r="P232" s="35"/>
      <c r="Q232" s="35"/>
      <c r="R232" s="35"/>
      <c r="S232" s="35"/>
      <c r="T232" s="35"/>
      <c r="U232" s="35">
        <v>579.899</v>
      </c>
      <c r="V232" s="35">
        <v>6866</v>
      </c>
      <c r="W232" s="36">
        <f>865.52+1080</f>
        <v>1945.52</v>
      </c>
      <c r="X232" s="35"/>
      <c r="Y232" s="35"/>
      <c r="Z232" s="35"/>
      <c r="AA232" s="8"/>
    </row>
    <row r="233" spans="2:27" s="7" customFormat="1" ht="15.75" hidden="1" customHeight="1" x14ac:dyDescent="0.25">
      <c r="B233" s="12" t="s">
        <v>90</v>
      </c>
      <c r="C233" s="33">
        <v>104649.84</v>
      </c>
      <c r="D233" s="35">
        <f t="shared" si="3"/>
        <v>0</v>
      </c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6"/>
      <c r="X233" s="35"/>
      <c r="Y233" s="35"/>
      <c r="Z233" s="35"/>
      <c r="AA233" s="8"/>
    </row>
    <row r="234" spans="2:27" s="7" customFormat="1" ht="15.75" hidden="1" customHeight="1" x14ac:dyDescent="0.25">
      <c r="B234" s="12" t="s">
        <v>91</v>
      </c>
      <c r="C234" s="33">
        <v>164472.93</v>
      </c>
      <c r="D234" s="35">
        <f t="shared" si="3"/>
        <v>889.72</v>
      </c>
      <c r="E234" s="35"/>
      <c r="F234" s="35"/>
      <c r="G234" s="35"/>
      <c r="H234" s="35"/>
      <c r="I234" s="35"/>
      <c r="J234" s="35"/>
      <c r="K234" s="35">
        <v>565.22</v>
      </c>
      <c r="L234" s="35"/>
      <c r="M234" s="35"/>
      <c r="N234" s="35"/>
      <c r="O234" s="35"/>
      <c r="P234" s="35"/>
      <c r="Q234" s="35"/>
      <c r="R234" s="35"/>
      <c r="S234" s="35"/>
      <c r="T234" s="35"/>
      <c r="U234" s="35">
        <v>324.5</v>
      </c>
      <c r="V234" s="35"/>
      <c r="W234" s="36"/>
      <c r="X234" s="35"/>
      <c r="Y234" s="35"/>
      <c r="Z234" s="35"/>
      <c r="AA234" s="8"/>
    </row>
    <row r="235" spans="2:27" s="7" customFormat="1" ht="15.75" hidden="1" customHeight="1" x14ac:dyDescent="0.25">
      <c r="B235" s="12" t="s">
        <v>92</v>
      </c>
      <c r="C235" s="33">
        <v>133747.92000000001</v>
      </c>
      <c r="D235" s="35">
        <f t="shared" si="3"/>
        <v>6267.64</v>
      </c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>
        <v>4611.6450000000004</v>
      </c>
      <c r="R235" s="35">
        <v>985</v>
      </c>
      <c r="S235" s="35"/>
      <c r="T235" s="35"/>
      <c r="U235" s="35">
        <v>670.995</v>
      </c>
      <c r="V235" s="35"/>
      <c r="W235" s="36"/>
      <c r="X235" s="35"/>
      <c r="Y235" s="35"/>
      <c r="Z235" s="35"/>
      <c r="AA235" s="8"/>
    </row>
    <row r="236" spans="2:27" s="7" customFormat="1" ht="15.75" hidden="1" customHeight="1" x14ac:dyDescent="0.25">
      <c r="B236" s="12" t="s">
        <v>93</v>
      </c>
      <c r="C236" s="33">
        <v>168433.17</v>
      </c>
      <c r="D236" s="35">
        <f t="shared" si="3"/>
        <v>160042.95000000001</v>
      </c>
      <c r="E236" s="35"/>
      <c r="F236" s="35"/>
      <c r="G236" s="35"/>
      <c r="H236" s="35">
        <v>48214.2</v>
      </c>
      <c r="I236" s="35"/>
      <c r="J236" s="35"/>
      <c r="K236" s="35"/>
      <c r="L236" s="35"/>
      <c r="M236" s="35">
        <v>13725</v>
      </c>
      <c r="N236" s="35"/>
      <c r="O236" s="35"/>
      <c r="P236" s="35"/>
      <c r="Q236" s="35"/>
      <c r="R236" s="35">
        <v>6046.78</v>
      </c>
      <c r="S236" s="35"/>
      <c r="T236" s="35">
        <f>861.99+467.28</f>
        <v>1329.27</v>
      </c>
      <c r="U236" s="35"/>
      <c r="V236" s="35"/>
      <c r="W236" s="36"/>
      <c r="X236" s="35"/>
      <c r="Y236" s="35">
        <v>90727.7</v>
      </c>
      <c r="Z236" s="35"/>
      <c r="AA236" s="8"/>
    </row>
    <row r="237" spans="2:27" s="7" customFormat="1" ht="15.75" hidden="1" customHeight="1" x14ac:dyDescent="0.25">
      <c r="B237" s="12" t="s">
        <v>94</v>
      </c>
      <c r="C237" s="33">
        <v>43110.59</v>
      </c>
      <c r="D237" s="35">
        <f t="shared" si="3"/>
        <v>0</v>
      </c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6"/>
      <c r="X237" s="35"/>
      <c r="Y237" s="35"/>
      <c r="Z237" s="35"/>
      <c r="AA237" s="8"/>
    </row>
    <row r="238" spans="2:27" s="7" customFormat="1" ht="15.75" hidden="1" customHeight="1" x14ac:dyDescent="0.25">
      <c r="B238" s="12" t="s">
        <v>95</v>
      </c>
      <c r="C238" s="33">
        <v>279073.87</v>
      </c>
      <c r="D238" s="35">
        <f t="shared" si="3"/>
        <v>271392.05000000005</v>
      </c>
      <c r="E238" s="35"/>
      <c r="F238" s="35"/>
      <c r="G238" s="35"/>
      <c r="H238" s="35"/>
      <c r="I238" s="35">
        <v>114447</v>
      </c>
      <c r="J238" s="35"/>
      <c r="K238" s="35">
        <v>3641.2</v>
      </c>
      <c r="L238" s="35">
        <v>4290</v>
      </c>
      <c r="M238" s="35">
        <v>6695.5</v>
      </c>
      <c r="N238" s="35"/>
      <c r="O238" s="35"/>
      <c r="P238" s="35"/>
      <c r="Q238" s="35"/>
      <c r="R238" s="35">
        <v>6695.5</v>
      </c>
      <c r="S238" s="35"/>
      <c r="T238" s="35"/>
      <c r="U238" s="35">
        <v>13361.1</v>
      </c>
      <c r="V238" s="35">
        <v>4868.68</v>
      </c>
      <c r="W238" s="36">
        <v>1080</v>
      </c>
      <c r="X238" s="35"/>
      <c r="Y238" s="35">
        <v>116313.07</v>
      </c>
      <c r="Z238" s="35"/>
      <c r="AA238" s="8"/>
    </row>
    <row r="239" spans="2:27" s="7" customFormat="1" ht="15.75" hidden="1" customHeight="1" x14ac:dyDescent="0.25">
      <c r="B239" s="12" t="s">
        <v>96</v>
      </c>
      <c r="C239" s="33">
        <v>96287.52</v>
      </c>
      <c r="D239" s="35">
        <f t="shared" si="3"/>
        <v>60601.58</v>
      </c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40"/>
      <c r="S239" s="35"/>
      <c r="T239" s="35"/>
      <c r="U239" s="35"/>
      <c r="V239" s="35"/>
      <c r="W239" s="36"/>
      <c r="X239" s="35"/>
      <c r="Y239" s="35">
        <v>60601.58</v>
      </c>
      <c r="Z239" s="35"/>
      <c r="AA239" s="8"/>
    </row>
    <row r="240" spans="2:27" s="7" customFormat="1" ht="15.75" hidden="1" customHeight="1" x14ac:dyDescent="0.25">
      <c r="B240" s="12" t="s">
        <v>97</v>
      </c>
      <c r="C240" s="33">
        <v>410535.32</v>
      </c>
      <c r="D240" s="35">
        <f t="shared" si="3"/>
        <v>307474.41219900001</v>
      </c>
      <c r="E240" s="35">
        <v>16293.641</v>
      </c>
      <c r="F240" s="35"/>
      <c r="G240" s="35"/>
      <c r="H240" s="35">
        <v>5939.46</v>
      </c>
      <c r="I240" s="35"/>
      <c r="J240" s="35"/>
      <c r="K240" s="35">
        <f>2572.11+5124.021199</f>
        <v>7696.1311989999995</v>
      </c>
      <c r="L240" s="35"/>
      <c r="M240" s="35">
        <v>4725.5600000000004</v>
      </c>
      <c r="N240" s="35"/>
      <c r="O240" s="35">
        <v>9549.86</v>
      </c>
      <c r="P240" s="35"/>
      <c r="Q240" s="35"/>
      <c r="R240" s="35">
        <v>2065.625</v>
      </c>
      <c r="S240" s="35"/>
      <c r="T240" s="35">
        <f>365.505+345.74</f>
        <v>711.245</v>
      </c>
      <c r="U240" s="35"/>
      <c r="V240" s="35">
        <v>3458.38</v>
      </c>
      <c r="W240" s="36">
        <v>24408.3</v>
      </c>
      <c r="X240" s="35"/>
      <c r="Y240" s="35">
        <v>232626.21</v>
      </c>
      <c r="Z240" s="35"/>
      <c r="AA240" s="8"/>
    </row>
    <row r="241" spans="2:27" s="7" customFormat="1" ht="15.75" hidden="1" customHeight="1" x14ac:dyDescent="0.25">
      <c r="B241" s="13" t="s">
        <v>98</v>
      </c>
      <c r="C241" s="33">
        <v>712194.72</v>
      </c>
      <c r="D241" s="35">
        <f t="shared" si="3"/>
        <v>478146.18999999994</v>
      </c>
      <c r="E241" s="35"/>
      <c r="F241" s="35"/>
      <c r="G241" s="35"/>
      <c r="H241" s="35"/>
      <c r="I241" s="35"/>
      <c r="J241" s="35"/>
      <c r="K241" s="35">
        <f>2362.24+1136</f>
        <v>3498.24</v>
      </c>
      <c r="L241" s="35"/>
      <c r="M241" s="35">
        <v>3640</v>
      </c>
      <c r="N241" s="35"/>
      <c r="O241" s="35">
        <v>9093.4699999999993</v>
      </c>
      <c r="P241" s="35"/>
      <c r="Q241" s="35"/>
      <c r="R241" s="35">
        <f>28353.38+13868.54</f>
        <v>42221.919999999998</v>
      </c>
      <c r="S241" s="35"/>
      <c r="T241" s="35">
        <v>1037.2</v>
      </c>
      <c r="U241" s="35"/>
      <c r="V241" s="35"/>
      <c r="W241" s="36">
        <v>1080.8800000000001</v>
      </c>
      <c r="X241" s="35"/>
      <c r="Y241" s="35">
        <v>417574.48</v>
      </c>
      <c r="Z241" s="35"/>
      <c r="AA241" s="8"/>
    </row>
    <row r="242" spans="2:27" s="7" customFormat="1" ht="15.75" hidden="1" customHeight="1" x14ac:dyDescent="0.25">
      <c r="B242" s="12" t="s">
        <v>99</v>
      </c>
      <c r="C242" s="33">
        <v>11885.86</v>
      </c>
      <c r="D242" s="35">
        <f t="shared" si="3"/>
        <v>2421</v>
      </c>
      <c r="E242" s="35"/>
      <c r="F242" s="35"/>
      <c r="G242" s="35"/>
      <c r="H242" s="35"/>
      <c r="I242" s="35"/>
      <c r="J242" s="35"/>
      <c r="K242" s="35">
        <v>1820</v>
      </c>
      <c r="L242" s="35">
        <v>601</v>
      </c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6"/>
      <c r="X242" s="35"/>
      <c r="Y242" s="35"/>
      <c r="Z242" s="35"/>
      <c r="AA242" s="8"/>
    </row>
    <row r="243" spans="2:27" s="7" customFormat="1" ht="15.75" hidden="1" customHeight="1" x14ac:dyDescent="0.25">
      <c r="B243" s="12" t="s">
        <v>100</v>
      </c>
      <c r="C243" s="33">
        <v>175268.31</v>
      </c>
      <c r="D243" s="35">
        <f t="shared" si="3"/>
        <v>79148.650000000009</v>
      </c>
      <c r="E243" s="35">
        <v>12414</v>
      </c>
      <c r="F243" s="35"/>
      <c r="G243" s="35"/>
      <c r="H243" s="35">
        <v>61379.6</v>
      </c>
      <c r="I243" s="35"/>
      <c r="J243" s="35"/>
      <c r="K243" s="35"/>
      <c r="L243" s="35"/>
      <c r="M243" s="35"/>
      <c r="N243" s="35"/>
      <c r="O243" s="35"/>
      <c r="P243" s="35"/>
      <c r="Q243" s="35"/>
      <c r="R243" s="35">
        <v>3624</v>
      </c>
      <c r="S243" s="35"/>
      <c r="T243" s="35"/>
      <c r="U243" s="35"/>
      <c r="V243" s="35"/>
      <c r="W243" s="36">
        <v>1731.05</v>
      </c>
      <c r="X243" s="35"/>
      <c r="Y243" s="35"/>
      <c r="Z243" s="35"/>
      <c r="AA243" s="8"/>
    </row>
    <row r="244" spans="2:27" s="7" customFormat="1" ht="15.75" hidden="1" customHeight="1" x14ac:dyDescent="0.25">
      <c r="B244" s="13" t="s">
        <v>101</v>
      </c>
      <c r="C244" s="33">
        <v>152082.96</v>
      </c>
      <c r="D244" s="35">
        <f t="shared" si="3"/>
        <v>105376</v>
      </c>
      <c r="E244" s="35"/>
      <c r="F244" s="35"/>
      <c r="G244" s="35"/>
      <c r="H244" s="35"/>
      <c r="I244" s="35">
        <v>98218</v>
      </c>
      <c r="J244" s="35"/>
      <c r="K244" s="35"/>
      <c r="L244" s="35"/>
      <c r="M244" s="35"/>
      <c r="N244" s="35"/>
      <c r="O244" s="35"/>
      <c r="P244" s="35"/>
      <c r="Q244" s="35"/>
      <c r="R244" s="35">
        <v>6466.52</v>
      </c>
      <c r="S244" s="35"/>
      <c r="T244" s="35">
        <v>691.48</v>
      </c>
      <c r="U244" s="35"/>
      <c r="V244" s="35"/>
      <c r="W244" s="36"/>
      <c r="X244" s="35"/>
      <c r="Y244" s="35"/>
      <c r="Z244" s="35"/>
      <c r="AA244" s="8"/>
    </row>
    <row r="245" spans="2:27" s="7" customFormat="1" ht="15.75" hidden="1" customHeight="1" x14ac:dyDescent="0.25">
      <c r="B245" s="13" t="s">
        <v>102</v>
      </c>
      <c r="C245" s="33">
        <v>388756.08</v>
      </c>
      <c r="D245" s="35">
        <f t="shared" si="3"/>
        <v>15761.084000000003</v>
      </c>
      <c r="E245" s="35"/>
      <c r="F245" s="35"/>
      <c r="G245" s="35"/>
      <c r="H245" s="35"/>
      <c r="I245" s="35"/>
      <c r="J245" s="35"/>
      <c r="K245" s="35"/>
      <c r="L245" s="35"/>
      <c r="M245" s="35">
        <v>7734.09</v>
      </c>
      <c r="N245" s="35"/>
      <c r="O245" s="35"/>
      <c r="P245" s="35"/>
      <c r="Q245" s="35"/>
      <c r="R245" s="35">
        <v>2413.4499999999998</v>
      </c>
      <c r="S245" s="35"/>
      <c r="T245" s="35">
        <v>691.83399999999995</v>
      </c>
      <c r="U245" s="35">
        <f>413.26+732</f>
        <v>1145.26</v>
      </c>
      <c r="V245" s="35"/>
      <c r="W245" s="36">
        <v>3776.45</v>
      </c>
      <c r="X245" s="35"/>
      <c r="Y245" s="35"/>
      <c r="Z245" s="35"/>
      <c r="AA245" s="8"/>
    </row>
    <row r="246" spans="2:27" s="7" customFormat="1" ht="15.75" hidden="1" customHeight="1" x14ac:dyDescent="0.25">
      <c r="B246" s="13" t="s">
        <v>103</v>
      </c>
      <c r="C246" s="33">
        <v>84811.68</v>
      </c>
      <c r="D246" s="35">
        <f t="shared" si="3"/>
        <v>141519.03999999998</v>
      </c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>
        <f>65415.52+65803.9</f>
        <v>131219.41999999998</v>
      </c>
      <c r="S246" s="35"/>
      <c r="T246" s="35">
        <f>1400.12+7391.5</f>
        <v>8791.619999999999</v>
      </c>
      <c r="U246" s="35">
        <v>1508</v>
      </c>
      <c r="V246" s="35"/>
      <c r="W246" s="36"/>
      <c r="X246" s="35"/>
      <c r="Y246" s="35"/>
      <c r="Z246" s="35"/>
      <c r="AA246" s="8"/>
    </row>
    <row r="247" spans="2:27" s="7" customFormat="1" ht="15.75" hidden="1" customHeight="1" x14ac:dyDescent="0.25">
      <c r="B247" s="13" t="s">
        <v>104</v>
      </c>
      <c r="C247" s="33">
        <v>510693.96</v>
      </c>
      <c r="D247" s="35">
        <f t="shared" si="3"/>
        <v>17537.25</v>
      </c>
      <c r="E247" s="35"/>
      <c r="F247" s="35"/>
      <c r="G247" s="35"/>
      <c r="H247" s="35"/>
      <c r="I247" s="35"/>
      <c r="J247" s="35"/>
      <c r="K247" s="35">
        <v>2610.56</v>
      </c>
      <c r="L247" s="35">
        <f>1867.3+301</f>
        <v>2168.3000000000002</v>
      </c>
      <c r="M247" s="35"/>
      <c r="N247" s="35"/>
      <c r="O247" s="35"/>
      <c r="P247" s="35"/>
      <c r="Q247" s="35"/>
      <c r="R247" s="35"/>
      <c r="S247" s="35">
        <v>4626.3900000000003</v>
      </c>
      <c r="T247" s="35"/>
      <c r="U247" s="35">
        <v>2844</v>
      </c>
      <c r="V247" s="35"/>
      <c r="W247" s="36">
        <v>5288</v>
      </c>
      <c r="X247" s="35"/>
      <c r="Y247" s="35"/>
      <c r="Z247" s="35"/>
      <c r="AA247" s="8"/>
    </row>
    <row r="248" spans="2:27" s="7" customFormat="1" ht="15.75" hidden="1" customHeight="1" x14ac:dyDescent="0.25">
      <c r="B248" s="13" t="s">
        <v>105</v>
      </c>
      <c r="C248" s="33">
        <v>89065.56</v>
      </c>
      <c r="D248" s="35">
        <f t="shared" si="3"/>
        <v>5956.91</v>
      </c>
      <c r="E248" s="35"/>
      <c r="F248" s="35">
        <v>3231</v>
      </c>
      <c r="G248" s="35"/>
      <c r="H248" s="35">
        <v>876.91</v>
      </c>
      <c r="I248" s="35"/>
      <c r="J248" s="35"/>
      <c r="K248" s="35"/>
      <c r="L248" s="35"/>
      <c r="M248" s="35"/>
      <c r="N248" s="35"/>
      <c r="O248" s="35"/>
      <c r="P248" s="35"/>
      <c r="Q248" s="35"/>
      <c r="R248" s="35">
        <v>1849</v>
      </c>
      <c r="S248" s="35"/>
      <c r="T248" s="35"/>
      <c r="U248" s="35"/>
      <c r="V248" s="35"/>
      <c r="W248" s="36"/>
      <c r="X248" s="35"/>
      <c r="Y248" s="35"/>
      <c r="Z248" s="35"/>
      <c r="AA248" s="8"/>
    </row>
    <row r="249" spans="2:27" s="7" customFormat="1" ht="15.75" hidden="1" customHeight="1" x14ac:dyDescent="0.25">
      <c r="B249" s="13" t="s">
        <v>106</v>
      </c>
      <c r="C249" s="33">
        <v>88447.2</v>
      </c>
      <c r="D249" s="35">
        <f t="shared" si="3"/>
        <v>4008</v>
      </c>
      <c r="E249" s="35"/>
      <c r="F249" s="35"/>
      <c r="G249" s="35"/>
      <c r="H249" s="35"/>
      <c r="I249" s="35"/>
      <c r="J249" s="35"/>
      <c r="K249" s="35">
        <v>4008</v>
      </c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6"/>
      <c r="X249" s="35"/>
      <c r="Y249" s="35"/>
      <c r="Z249" s="35"/>
      <c r="AA249" s="8"/>
    </row>
    <row r="250" spans="2:27" s="7" customFormat="1" ht="15.75" hidden="1" customHeight="1" x14ac:dyDescent="0.25">
      <c r="B250" s="13" t="s">
        <v>107</v>
      </c>
      <c r="C250" s="33">
        <v>268803.84000000003</v>
      </c>
      <c r="D250" s="35">
        <f t="shared" si="3"/>
        <v>125557.95999999999</v>
      </c>
      <c r="E250" s="35"/>
      <c r="F250" s="35"/>
      <c r="G250" s="35">
        <v>115785</v>
      </c>
      <c r="H250" s="35"/>
      <c r="I250" s="35"/>
      <c r="J250" s="35"/>
      <c r="K250" s="35">
        <v>5979.7</v>
      </c>
      <c r="L250" s="35"/>
      <c r="M250" s="35"/>
      <c r="N250" s="35"/>
      <c r="O250" s="35"/>
      <c r="P250" s="35">
        <v>1799.04</v>
      </c>
      <c r="Q250" s="35"/>
      <c r="R250" s="35">
        <v>1800.42</v>
      </c>
      <c r="S250" s="35"/>
      <c r="T250" s="35">
        <v>193.8</v>
      </c>
      <c r="U250" s="35"/>
      <c r="V250" s="35"/>
      <c r="W250" s="36"/>
      <c r="X250" s="35"/>
      <c r="Y250" s="35"/>
      <c r="Z250" s="35"/>
      <c r="AA250" s="8"/>
    </row>
    <row r="251" spans="2:27" s="7" customFormat="1" ht="15.75" hidden="1" customHeight="1" x14ac:dyDescent="0.25">
      <c r="B251" s="13" t="s">
        <v>108</v>
      </c>
      <c r="C251" s="33">
        <v>224923.56</v>
      </c>
      <c r="D251" s="35">
        <f t="shared" si="3"/>
        <v>0</v>
      </c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6"/>
      <c r="X251" s="35"/>
      <c r="Y251" s="35"/>
      <c r="Z251" s="35"/>
      <c r="AA251" s="8"/>
    </row>
    <row r="252" spans="2:27" s="7" customFormat="1" ht="15.75" hidden="1" customHeight="1" x14ac:dyDescent="0.25">
      <c r="B252" s="13" t="s">
        <v>109</v>
      </c>
      <c r="C252" s="33">
        <v>191302.32</v>
      </c>
      <c r="D252" s="35">
        <f t="shared" si="3"/>
        <v>0</v>
      </c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6"/>
      <c r="X252" s="35"/>
      <c r="Y252" s="35"/>
      <c r="Z252" s="35"/>
      <c r="AA252" s="8"/>
    </row>
    <row r="253" spans="2:27" s="7" customFormat="1" ht="15.75" hidden="1" customHeight="1" x14ac:dyDescent="0.25">
      <c r="B253" s="13" t="s">
        <v>110</v>
      </c>
      <c r="C253" s="33">
        <v>55803.24</v>
      </c>
      <c r="D253" s="35">
        <f t="shared" si="3"/>
        <v>62393.02</v>
      </c>
      <c r="E253" s="35"/>
      <c r="F253" s="35"/>
      <c r="G253" s="35"/>
      <c r="H253" s="35"/>
      <c r="I253" s="35"/>
      <c r="J253" s="35"/>
      <c r="K253" s="35">
        <v>2752</v>
      </c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6"/>
      <c r="X253" s="35"/>
      <c r="Y253" s="35">
        <v>59641.02</v>
      </c>
      <c r="Z253" s="35"/>
      <c r="AA253" s="8"/>
    </row>
    <row r="254" spans="2:27" s="7" customFormat="1" ht="15.75" hidden="1" customHeight="1" x14ac:dyDescent="0.25">
      <c r="B254" s="13" t="s">
        <v>111</v>
      </c>
      <c r="C254" s="33">
        <v>123494.64</v>
      </c>
      <c r="D254" s="35">
        <f t="shared" si="3"/>
        <v>565.26</v>
      </c>
      <c r="E254" s="35"/>
      <c r="F254" s="35"/>
      <c r="G254" s="35"/>
      <c r="H254" s="35"/>
      <c r="I254" s="35"/>
      <c r="J254" s="35"/>
      <c r="K254" s="35">
        <v>565.26</v>
      </c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6"/>
      <c r="X254" s="35"/>
      <c r="Y254" s="35"/>
      <c r="Z254" s="35"/>
      <c r="AA254" s="8"/>
    </row>
    <row r="255" spans="2:27" s="7" customFormat="1" ht="15.75" hidden="1" customHeight="1" x14ac:dyDescent="0.25">
      <c r="B255" s="13" t="s">
        <v>112</v>
      </c>
      <c r="C255" s="33">
        <v>231943.08</v>
      </c>
      <c r="D255" s="35">
        <f t="shared" si="3"/>
        <v>5612</v>
      </c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>
        <v>5612</v>
      </c>
      <c r="S255" s="35"/>
      <c r="T255" s="35"/>
      <c r="U255" s="35"/>
      <c r="V255" s="35"/>
      <c r="W255" s="36"/>
      <c r="X255" s="35"/>
      <c r="Y255" s="35"/>
      <c r="Z255" s="35"/>
      <c r="AA255" s="8"/>
    </row>
    <row r="256" spans="2:27" s="7" customFormat="1" ht="15.75" hidden="1" customHeight="1" x14ac:dyDescent="0.25">
      <c r="B256" s="13" t="s">
        <v>113</v>
      </c>
      <c r="C256" s="33">
        <v>97700</v>
      </c>
      <c r="D256" s="35">
        <f t="shared" si="3"/>
        <v>0</v>
      </c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6"/>
      <c r="X256" s="35"/>
      <c r="Y256" s="35"/>
      <c r="Z256" s="35"/>
      <c r="AA256" s="8"/>
    </row>
    <row r="257" spans="2:27" s="7" customFormat="1" ht="15.75" hidden="1" customHeight="1" x14ac:dyDescent="0.25">
      <c r="B257" s="13" t="s">
        <v>114</v>
      </c>
      <c r="C257" s="33">
        <v>95534.28</v>
      </c>
      <c r="D257" s="35">
        <f t="shared" si="3"/>
        <v>120252.53</v>
      </c>
      <c r="E257" s="35"/>
      <c r="F257" s="35"/>
      <c r="G257" s="35"/>
      <c r="H257" s="35"/>
      <c r="I257" s="35"/>
      <c r="J257" s="35"/>
      <c r="K257" s="35">
        <v>4126</v>
      </c>
      <c r="L257" s="35"/>
      <c r="M257" s="35">
        <v>11664</v>
      </c>
      <c r="N257" s="35"/>
      <c r="O257" s="35"/>
      <c r="P257" s="35"/>
      <c r="Q257" s="35"/>
      <c r="R257" s="35">
        <v>18573</v>
      </c>
      <c r="S257" s="35"/>
      <c r="T257" s="35"/>
      <c r="U257" s="35"/>
      <c r="V257" s="35"/>
      <c r="W257" s="36">
        <v>4156</v>
      </c>
      <c r="X257" s="35"/>
      <c r="Y257" s="35">
        <v>81733.53</v>
      </c>
      <c r="Z257" s="35"/>
      <c r="AA257" s="8"/>
    </row>
    <row r="258" spans="2:27" s="7" customFormat="1" ht="15.75" hidden="1" customHeight="1" x14ac:dyDescent="0.25">
      <c r="B258" s="13" t="s">
        <v>115</v>
      </c>
      <c r="C258" s="33">
        <v>78760.320000000007</v>
      </c>
      <c r="D258" s="35">
        <f t="shared" si="3"/>
        <v>1257.54</v>
      </c>
      <c r="E258" s="35"/>
      <c r="F258" s="35"/>
      <c r="G258" s="35"/>
      <c r="H258" s="35"/>
      <c r="I258" s="35"/>
      <c r="J258" s="35"/>
      <c r="K258" s="35"/>
      <c r="L258" s="35">
        <v>378.54</v>
      </c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6">
        <v>879</v>
      </c>
      <c r="X258" s="35"/>
      <c r="Y258" s="35"/>
      <c r="Z258" s="35"/>
      <c r="AA258" s="8"/>
    </row>
    <row r="259" spans="2:27" s="7" customFormat="1" ht="15.75" hidden="1" customHeight="1" x14ac:dyDescent="0.25">
      <c r="B259" s="13" t="s">
        <v>116</v>
      </c>
      <c r="C259" s="33">
        <v>25630.68</v>
      </c>
      <c r="D259" s="35">
        <f t="shared" si="3"/>
        <v>31265.83</v>
      </c>
      <c r="E259" s="35"/>
      <c r="F259" s="35"/>
      <c r="G259" s="35"/>
      <c r="H259" s="35"/>
      <c r="I259" s="35"/>
      <c r="J259" s="35"/>
      <c r="K259" s="35">
        <v>2615</v>
      </c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6">
        <v>4026</v>
      </c>
      <c r="X259" s="35"/>
      <c r="Y259" s="35">
        <v>24624.83</v>
      </c>
      <c r="Z259" s="35"/>
      <c r="AA259" s="8"/>
    </row>
    <row r="260" spans="2:27" s="7" customFormat="1" ht="15.75" hidden="1" customHeight="1" x14ac:dyDescent="0.25">
      <c r="B260" s="13" t="s">
        <v>117</v>
      </c>
      <c r="C260" s="33">
        <v>110412.84</v>
      </c>
      <c r="D260" s="35">
        <f t="shared" si="3"/>
        <v>113187.15</v>
      </c>
      <c r="E260" s="35"/>
      <c r="F260" s="35"/>
      <c r="G260" s="35"/>
      <c r="H260" s="35">
        <v>9554.81</v>
      </c>
      <c r="I260" s="35"/>
      <c r="J260" s="35"/>
      <c r="K260" s="35"/>
      <c r="L260" s="35"/>
      <c r="M260" s="35">
        <f>1871+2121</f>
        <v>3992</v>
      </c>
      <c r="N260" s="35"/>
      <c r="O260" s="35"/>
      <c r="P260" s="35"/>
      <c r="Q260" s="35"/>
      <c r="R260" s="35"/>
      <c r="S260" s="35"/>
      <c r="T260" s="35"/>
      <c r="U260" s="35"/>
      <c r="V260" s="35"/>
      <c r="W260" s="36">
        <v>879</v>
      </c>
      <c r="X260" s="35"/>
      <c r="Y260" s="35">
        <v>98761.34</v>
      </c>
      <c r="Z260" s="35"/>
      <c r="AA260" s="8"/>
    </row>
    <row r="261" spans="2:27" s="7" customFormat="1" ht="15.75" hidden="1" customHeight="1" x14ac:dyDescent="0.25">
      <c r="B261" s="13" t="s">
        <v>118</v>
      </c>
      <c r="C261" s="33">
        <v>105162.84</v>
      </c>
      <c r="D261" s="35">
        <f t="shared" si="3"/>
        <v>48841.909999999996</v>
      </c>
      <c r="E261" s="35"/>
      <c r="F261" s="35"/>
      <c r="G261" s="35"/>
      <c r="H261" s="35"/>
      <c r="I261" s="35"/>
      <c r="J261" s="35"/>
      <c r="K261" s="35">
        <v>2959</v>
      </c>
      <c r="L261" s="35">
        <v>559.85</v>
      </c>
      <c r="M261" s="35"/>
      <c r="N261" s="35"/>
      <c r="O261" s="35"/>
      <c r="P261" s="35"/>
      <c r="Q261" s="35"/>
      <c r="R261" s="35">
        <v>783</v>
      </c>
      <c r="S261" s="35"/>
      <c r="T261" s="35"/>
      <c r="U261" s="35"/>
      <c r="V261" s="35"/>
      <c r="W261" s="36">
        <v>879</v>
      </c>
      <c r="X261" s="35"/>
      <c r="Y261" s="35">
        <v>43661.06</v>
      </c>
      <c r="Z261" s="35"/>
      <c r="AA261" s="8"/>
    </row>
    <row r="262" spans="2:27" s="7" customFormat="1" ht="15.75" hidden="1" customHeight="1" x14ac:dyDescent="0.25">
      <c r="B262" s="13" t="s">
        <v>119</v>
      </c>
      <c r="C262" s="33">
        <v>37602.480000000003</v>
      </c>
      <c r="D262" s="35">
        <f t="shared" si="3"/>
        <v>162573.41</v>
      </c>
      <c r="E262" s="35"/>
      <c r="F262" s="35"/>
      <c r="G262" s="35"/>
      <c r="H262" s="35">
        <v>9554.81</v>
      </c>
      <c r="I262" s="35"/>
      <c r="J262" s="35"/>
      <c r="K262" s="35">
        <f>2365.88+2509</f>
        <v>4874.88</v>
      </c>
      <c r="L262" s="35"/>
      <c r="M262" s="35">
        <f>8596.12+41895</f>
        <v>50491.12</v>
      </c>
      <c r="N262" s="35"/>
      <c r="O262" s="35"/>
      <c r="P262" s="35"/>
      <c r="Q262" s="35"/>
      <c r="R262" s="35"/>
      <c r="S262" s="35"/>
      <c r="T262" s="35"/>
      <c r="U262" s="35"/>
      <c r="V262" s="35"/>
      <c r="W262" s="36">
        <v>987</v>
      </c>
      <c r="X262" s="35"/>
      <c r="Y262" s="35">
        <v>96665.600000000006</v>
      </c>
      <c r="Z262" s="35"/>
      <c r="AA262" s="8"/>
    </row>
    <row r="263" spans="2:27" s="7" customFormat="1" ht="15.75" hidden="1" customHeight="1" x14ac:dyDescent="0.25">
      <c r="B263" s="13" t="s">
        <v>120</v>
      </c>
      <c r="C263" s="33">
        <v>103532.04</v>
      </c>
      <c r="D263" s="35">
        <f t="shared" si="3"/>
        <v>251280.55540000001</v>
      </c>
      <c r="E263" s="35"/>
      <c r="F263" s="35"/>
      <c r="G263" s="35"/>
      <c r="H263" s="35">
        <f>9554.81+1230.82+737</f>
        <v>11522.63</v>
      </c>
      <c r="I263" s="35">
        <v>138503</v>
      </c>
      <c r="J263" s="35"/>
      <c r="K263" s="35">
        <f>4000.18+1001</f>
        <v>5001.18</v>
      </c>
      <c r="L263" s="35"/>
      <c r="M263" s="35">
        <v>6834.32</v>
      </c>
      <c r="N263" s="35"/>
      <c r="O263" s="35">
        <f>1531.6754+1849</f>
        <v>3380.6754000000001</v>
      </c>
      <c r="P263" s="35"/>
      <c r="Q263" s="35"/>
      <c r="R263" s="35"/>
      <c r="S263" s="35"/>
      <c r="T263" s="35"/>
      <c r="U263" s="35"/>
      <c r="V263" s="35"/>
      <c r="W263" s="36">
        <v>987</v>
      </c>
      <c r="X263" s="35"/>
      <c r="Y263" s="35">
        <v>85051.75</v>
      </c>
      <c r="Z263" s="35"/>
      <c r="AA263" s="8"/>
    </row>
    <row r="264" spans="2:27" s="7" customFormat="1" ht="15.75" hidden="1" customHeight="1" x14ac:dyDescent="0.25">
      <c r="B264" s="13" t="s">
        <v>121</v>
      </c>
      <c r="C264" s="33">
        <v>97158.720000000001</v>
      </c>
      <c r="D264" s="35">
        <f t="shared" si="3"/>
        <v>18417</v>
      </c>
      <c r="E264" s="35"/>
      <c r="F264" s="35"/>
      <c r="G264" s="35"/>
      <c r="H264" s="35"/>
      <c r="I264" s="35"/>
      <c r="J264" s="35"/>
      <c r="K264" s="35">
        <v>1893</v>
      </c>
      <c r="L264" s="35"/>
      <c r="M264" s="35"/>
      <c r="N264" s="35"/>
      <c r="O264" s="35"/>
      <c r="P264" s="35">
        <v>13696</v>
      </c>
      <c r="Q264" s="35"/>
      <c r="R264" s="35"/>
      <c r="S264" s="35"/>
      <c r="T264" s="35"/>
      <c r="U264" s="35"/>
      <c r="V264" s="35">
        <v>2828</v>
      </c>
      <c r="W264" s="36"/>
      <c r="X264" s="35"/>
      <c r="Y264" s="35"/>
      <c r="Z264" s="35"/>
      <c r="AA264" s="8"/>
    </row>
    <row r="265" spans="2:27" s="7" customFormat="1" ht="15.75" hidden="1" customHeight="1" x14ac:dyDescent="0.25">
      <c r="B265" s="12" t="s">
        <v>122</v>
      </c>
      <c r="C265" s="33">
        <v>134215.62</v>
      </c>
      <c r="D265" s="35">
        <f t="shared" si="3"/>
        <v>114972.25</v>
      </c>
      <c r="E265" s="35"/>
      <c r="F265" s="35"/>
      <c r="G265" s="35"/>
      <c r="H265" s="35"/>
      <c r="I265" s="35"/>
      <c r="J265" s="35"/>
      <c r="K265" s="35"/>
      <c r="L265" s="35"/>
      <c r="M265" s="35">
        <v>9395</v>
      </c>
      <c r="N265" s="35"/>
      <c r="O265" s="35"/>
      <c r="P265" s="35"/>
      <c r="Q265" s="35"/>
      <c r="R265" s="35"/>
      <c r="S265" s="35"/>
      <c r="T265" s="35"/>
      <c r="U265" s="35">
        <v>878</v>
      </c>
      <c r="V265" s="35"/>
      <c r="W265" s="36"/>
      <c r="X265" s="35"/>
      <c r="Y265" s="35">
        <v>104699.25</v>
      </c>
      <c r="Z265" s="35"/>
      <c r="AA265" s="8"/>
    </row>
    <row r="266" spans="2:27" s="7" customFormat="1" ht="15.75" hidden="1" customHeight="1" x14ac:dyDescent="0.25">
      <c r="B266" s="12" t="s">
        <v>123</v>
      </c>
      <c r="C266" s="33">
        <v>112899.21</v>
      </c>
      <c r="D266" s="35">
        <f t="shared" si="3"/>
        <v>71568.490000000005</v>
      </c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>
        <v>2584</v>
      </c>
      <c r="S266" s="35"/>
      <c r="T266" s="35"/>
      <c r="U266" s="35"/>
      <c r="V266" s="35"/>
      <c r="W266" s="36"/>
      <c r="X266" s="35"/>
      <c r="Y266" s="35">
        <v>68984.490000000005</v>
      </c>
      <c r="Z266" s="35"/>
      <c r="AA266" s="8"/>
    </row>
    <row r="267" spans="2:27" s="7" customFormat="1" ht="15.75" hidden="1" customHeight="1" x14ac:dyDescent="0.25">
      <c r="B267" s="12" t="s">
        <v>124</v>
      </c>
      <c r="C267" s="33">
        <v>241316.31</v>
      </c>
      <c r="D267" s="35">
        <f t="shared" si="3"/>
        <v>76823.897400000002</v>
      </c>
      <c r="E267" s="35">
        <f>9242.8574+29513</f>
        <v>38755.857400000001</v>
      </c>
      <c r="F267" s="35"/>
      <c r="G267" s="35"/>
      <c r="H267" s="35"/>
      <c r="I267" s="35"/>
      <c r="J267" s="35"/>
      <c r="K267" s="35">
        <f>5117+4098.86</f>
        <v>9215.86</v>
      </c>
      <c r="L267" s="35"/>
      <c r="M267" s="35"/>
      <c r="N267" s="35"/>
      <c r="O267" s="35"/>
      <c r="P267" s="35">
        <v>5465.14</v>
      </c>
      <c r="Q267" s="35"/>
      <c r="R267" s="35"/>
      <c r="S267" s="35"/>
      <c r="T267" s="35"/>
      <c r="U267" s="35">
        <v>3479.43</v>
      </c>
      <c r="V267" s="35">
        <v>12146.4</v>
      </c>
      <c r="W267" s="36">
        <v>7761.21</v>
      </c>
      <c r="X267" s="35"/>
      <c r="Y267" s="35"/>
      <c r="Z267" s="35"/>
      <c r="AA267" s="8"/>
    </row>
    <row r="268" spans="2:27" s="7" customFormat="1" ht="15.75" hidden="1" customHeight="1" x14ac:dyDescent="0.25">
      <c r="B268" s="12" t="s">
        <v>125</v>
      </c>
      <c r="C268" s="33">
        <v>65929.73</v>
      </c>
      <c r="D268" s="35">
        <f t="shared" ref="D268:D331" si="4">E268+F268+H268+I268+J268+K268+L268+M268+O268+P268+Q268+R268+S268+T268+U268+V268+W268+X268+Y268+Z268+G268</f>
        <v>55236.850000000006</v>
      </c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>
        <v>2319.62</v>
      </c>
      <c r="S268" s="35"/>
      <c r="T268" s="35"/>
      <c r="U268" s="35"/>
      <c r="V268" s="35"/>
      <c r="W268" s="36"/>
      <c r="X268" s="35"/>
      <c r="Y268" s="35">
        <v>52917.23</v>
      </c>
      <c r="Z268" s="35"/>
      <c r="AA268" s="8"/>
    </row>
    <row r="269" spans="2:27" s="7" customFormat="1" ht="15.75" hidden="1" customHeight="1" x14ac:dyDescent="0.25">
      <c r="B269" s="12" t="s">
        <v>126</v>
      </c>
      <c r="C269" s="33">
        <v>717181.03</v>
      </c>
      <c r="D269" s="35">
        <f t="shared" si="4"/>
        <v>426892.56799999997</v>
      </c>
      <c r="E269" s="35"/>
      <c r="F269" s="35"/>
      <c r="G269" s="35"/>
      <c r="H269" s="35"/>
      <c r="I269" s="35"/>
      <c r="J269" s="35"/>
      <c r="K269" s="35">
        <f>2018+7164</f>
        <v>9182</v>
      </c>
      <c r="L269" s="35">
        <v>367.11</v>
      </c>
      <c r="M269" s="35"/>
      <c r="N269" s="35"/>
      <c r="O269" s="35"/>
      <c r="P269" s="35"/>
      <c r="Q269" s="35"/>
      <c r="R269" s="35">
        <v>5766.3180000000002</v>
      </c>
      <c r="S269" s="35"/>
      <c r="T269" s="35"/>
      <c r="U269" s="35">
        <v>5040</v>
      </c>
      <c r="V269" s="35">
        <v>1009.03</v>
      </c>
      <c r="W269" s="36">
        <v>987</v>
      </c>
      <c r="X269" s="35"/>
      <c r="Y269" s="35">
        <v>347542.14</v>
      </c>
      <c r="Z269" s="35">
        <v>56998.97</v>
      </c>
      <c r="AA269" s="8"/>
    </row>
    <row r="270" spans="2:27" s="7" customFormat="1" ht="15.75" hidden="1" customHeight="1" x14ac:dyDescent="0.25">
      <c r="B270" s="13" t="s">
        <v>127</v>
      </c>
      <c r="C270" s="33">
        <v>150789.12</v>
      </c>
      <c r="D270" s="35">
        <f t="shared" si="4"/>
        <v>105351.69</v>
      </c>
      <c r="E270" s="35"/>
      <c r="F270" s="35"/>
      <c r="G270" s="35"/>
      <c r="H270" s="35"/>
      <c r="I270" s="35"/>
      <c r="J270" s="35"/>
      <c r="K270" s="35">
        <v>7092.68</v>
      </c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6">
        <v>3776.45</v>
      </c>
      <c r="X270" s="35"/>
      <c r="Y270" s="35">
        <v>94482.559999999998</v>
      </c>
      <c r="Z270" s="35"/>
      <c r="AA270" s="8"/>
    </row>
    <row r="271" spans="2:27" s="7" customFormat="1" ht="15.75" hidden="1" customHeight="1" x14ac:dyDescent="0.25">
      <c r="B271" s="13" t="s">
        <v>128</v>
      </c>
      <c r="C271" s="33">
        <v>86716.56</v>
      </c>
      <c r="D271" s="35">
        <f t="shared" si="4"/>
        <v>77875.86</v>
      </c>
      <c r="E271" s="35"/>
      <c r="F271" s="35"/>
      <c r="G271" s="35"/>
      <c r="H271" s="35"/>
      <c r="I271" s="35"/>
      <c r="J271" s="35"/>
      <c r="K271" s="35">
        <f>224.64+4341.68+5344.02</f>
        <v>9910.34</v>
      </c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6">
        <v>1950</v>
      </c>
      <c r="X271" s="35"/>
      <c r="Y271" s="35">
        <v>66015.520000000004</v>
      </c>
      <c r="Z271" s="35"/>
      <c r="AA271" s="8"/>
    </row>
    <row r="272" spans="2:27" s="7" customFormat="1" ht="15.75" hidden="1" customHeight="1" x14ac:dyDescent="0.25">
      <c r="B272" s="13" t="s">
        <v>129</v>
      </c>
      <c r="C272" s="33">
        <v>143256.95999999999</v>
      </c>
      <c r="D272" s="35">
        <f t="shared" si="4"/>
        <v>111773.18</v>
      </c>
      <c r="E272" s="35"/>
      <c r="F272" s="35"/>
      <c r="G272" s="35"/>
      <c r="H272" s="35"/>
      <c r="I272" s="35"/>
      <c r="J272" s="35"/>
      <c r="K272" s="35">
        <v>1172</v>
      </c>
      <c r="L272" s="35">
        <v>367</v>
      </c>
      <c r="M272" s="35">
        <v>3054.66</v>
      </c>
      <c r="N272" s="35"/>
      <c r="O272" s="35"/>
      <c r="P272" s="35">
        <v>9815.34</v>
      </c>
      <c r="Q272" s="35"/>
      <c r="R272" s="35"/>
      <c r="S272" s="35"/>
      <c r="T272" s="35"/>
      <c r="U272" s="35"/>
      <c r="V272" s="35"/>
      <c r="W272" s="36"/>
      <c r="X272" s="35"/>
      <c r="Y272" s="35">
        <v>97364.18</v>
      </c>
      <c r="Z272" s="35"/>
      <c r="AA272" s="8"/>
    </row>
    <row r="273" spans="2:27" s="7" customFormat="1" ht="15.75" hidden="1" customHeight="1" x14ac:dyDescent="0.25">
      <c r="B273" s="13" t="s">
        <v>130</v>
      </c>
      <c r="C273" s="33">
        <v>123087.36</v>
      </c>
      <c r="D273" s="35">
        <f t="shared" si="4"/>
        <v>17398.809999999998</v>
      </c>
      <c r="E273" s="35"/>
      <c r="F273" s="35"/>
      <c r="G273" s="35"/>
      <c r="H273" s="35"/>
      <c r="I273" s="35"/>
      <c r="J273" s="35"/>
      <c r="K273" s="35">
        <v>565</v>
      </c>
      <c r="L273" s="35">
        <f>367+7438</f>
        <v>7805</v>
      </c>
      <c r="M273" s="35"/>
      <c r="N273" s="35"/>
      <c r="O273" s="35"/>
      <c r="P273" s="35"/>
      <c r="Q273" s="35"/>
      <c r="R273" s="35"/>
      <c r="S273" s="35"/>
      <c r="T273" s="35"/>
      <c r="U273" s="35">
        <v>9028.81</v>
      </c>
      <c r="V273" s="35"/>
      <c r="W273" s="36"/>
      <c r="X273" s="35"/>
      <c r="Y273" s="35"/>
      <c r="Z273" s="35"/>
      <c r="AA273" s="8"/>
    </row>
    <row r="274" spans="2:27" s="7" customFormat="1" ht="15.75" hidden="1" customHeight="1" x14ac:dyDescent="0.25">
      <c r="B274" s="13" t="s">
        <v>131</v>
      </c>
      <c r="C274" s="33">
        <v>443137.08</v>
      </c>
      <c r="D274" s="35">
        <f t="shared" si="4"/>
        <v>12507.11</v>
      </c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>
        <f>315.11+1530+6106+1986+1625</f>
        <v>11562.11</v>
      </c>
      <c r="S274" s="35"/>
      <c r="T274" s="35">
        <f>630+315</f>
        <v>945</v>
      </c>
      <c r="U274" s="35"/>
      <c r="V274" s="35"/>
      <c r="W274" s="36"/>
      <c r="X274" s="35"/>
      <c r="Y274" s="35"/>
      <c r="Z274" s="35"/>
      <c r="AA274" s="8"/>
    </row>
    <row r="275" spans="2:27" s="7" customFormat="1" ht="15.75" hidden="1" customHeight="1" x14ac:dyDescent="0.25">
      <c r="B275" s="13" t="s">
        <v>132</v>
      </c>
      <c r="C275" s="33">
        <v>92859.24</v>
      </c>
      <c r="D275" s="35">
        <f t="shared" si="4"/>
        <v>57124.670000000006</v>
      </c>
      <c r="E275" s="35"/>
      <c r="F275" s="35"/>
      <c r="G275" s="35"/>
      <c r="H275" s="35"/>
      <c r="I275" s="35"/>
      <c r="J275" s="35"/>
      <c r="K275" s="35"/>
      <c r="L275" s="35">
        <v>367</v>
      </c>
      <c r="M275" s="35"/>
      <c r="N275" s="35">
        <v>5694.76</v>
      </c>
      <c r="O275" s="35"/>
      <c r="P275" s="35"/>
      <c r="Q275" s="35"/>
      <c r="R275" s="35">
        <v>7854</v>
      </c>
      <c r="S275" s="35"/>
      <c r="T275" s="35">
        <f>5694.76+945</f>
        <v>6639.76</v>
      </c>
      <c r="U275" s="35"/>
      <c r="V275" s="35"/>
      <c r="W275" s="36"/>
      <c r="X275" s="35"/>
      <c r="Y275" s="35">
        <v>42263.91</v>
      </c>
      <c r="Z275" s="35"/>
      <c r="AA275" s="8"/>
    </row>
    <row r="276" spans="2:27" s="7" customFormat="1" ht="15.75" hidden="1" customHeight="1" x14ac:dyDescent="0.25">
      <c r="B276" s="13" t="s">
        <v>133</v>
      </c>
      <c r="C276" s="33">
        <v>221659.32</v>
      </c>
      <c r="D276" s="35">
        <f t="shared" si="4"/>
        <v>17685.560799999999</v>
      </c>
      <c r="E276" s="35">
        <v>2054</v>
      </c>
      <c r="F276" s="35"/>
      <c r="G276" s="35"/>
      <c r="H276" s="35"/>
      <c r="I276" s="35"/>
      <c r="J276" s="35"/>
      <c r="K276" s="35"/>
      <c r="L276" s="35">
        <f>2169.42+302+255.5408</f>
        <v>2726.9607999999998</v>
      </c>
      <c r="M276" s="35">
        <v>10761.6</v>
      </c>
      <c r="N276" s="35">
        <v>2169.4299999999998</v>
      </c>
      <c r="O276" s="35">
        <v>1956</v>
      </c>
      <c r="P276" s="35"/>
      <c r="Q276" s="35"/>
      <c r="R276" s="35"/>
      <c r="S276" s="35"/>
      <c r="T276" s="35"/>
      <c r="U276" s="35"/>
      <c r="V276" s="35">
        <v>187</v>
      </c>
      <c r="W276" s="36"/>
      <c r="X276" s="35"/>
      <c r="Y276" s="35"/>
      <c r="Z276" s="35"/>
      <c r="AA276" s="8"/>
    </row>
    <row r="277" spans="2:27" s="7" customFormat="1" ht="15" hidden="1" customHeight="1" x14ac:dyDescent="0.25">
      <c r="B277" s="13" t="s">
        <v>134</v>
      </c>
      <c r="C277" s="33">
        <v>81123.12</v>
      </c>
      <c r="D277" s="35">
        <f t="shared" si="4"/>
        <v>139789.92000000001</v>
      </c>
      <c r="E277" s="35"/>
      <c r="F277" s="35"/>
      <c r="G277" s="35"/>
      <c r="H277" s="35"/>
      <c r="I277" s="35"/>
      <c r="J277" s="35"/>
      <c r="K277" s="35"/>
      <c r="L277" s="35">
        <v>302</v>
      </c>
      <c r="M277" s="35">
        <v>139487.92000000001</v>
      </c>
      <c r="N277" s="35"/>
      <c r="O277" s="35"/>
      <c r="P277" s="35"/>
      <c r="Q277" s="35"/>
      <c r="R277" s="35"/>
      <c r="S277" s="35"/>
      <c r="T277" s="35"/>
      <c r="U277" s="35"/>
      <c r="V277" s="35"/>
      <c r="W277" s="36"/>
      <c r="X277" s="35"/>
      <c r="Y277" s="35"/>
      <c r="Z277" s="35"/>
      <c r="AA277" s="8"/>
    </row>
    <row r="278" spans="2:27" s="7" customFormat="1" ht="15.75" hidden="1" customHeight="1" x14ac:dyDescent="0.25">
      <c r="B278" s="13" t="s">
        <v>135</v>
      </c>
      <c r="C278" s="33">
        <v>197613.72</v>
      </c>
      <c r="D278" s="35">
        <f t="shared" si="4"/>
        <v>163187.24600000001</v>
      </c>
      <c r="E278" s="35"/>
      <c r="F278" s="35"/>
      <c r="G278" s="35"/>
      <c r="H278" s="35"/>
      <c r="I278" s="35">
        <v>59325</v>
      </c>
      <c r="J278" s="35"/>
      <c r="K278" s="35"/>
      <c r="L278" s="35"/>
      <c r="M278" s="35"/>
      <c r="N278" s="35"/>
      <c r="O278" s="35">
        <v>1869.9760000000001</v>
      </c>
      <c r="P278" s="35"/>
      <c r="Q278" s="35"/>
      <c r="R278" s="35"/>
      <c r="S278" s="35"/>
      <c r="T278" s="35"/>
      <c r="U278" s="35"/>
      <c r="V278" s="35"/>
      <c r="W278" s="36"/>
      <c r="X278" s="35"/>
      <c r="Y278" s="35">
        <v>101992.27</v>
      </c>
      <c r="Z278" s="35"/>
      <c r="AA278" s="8"/>
    </row>
    <row r="279" spans="2:27" s="7" customFormat="1" ht="15.75" hidden="1" customHeight="1" x14ac:dyDescent="0.25">
      <c r="B279" s="13" t="s">
        <v>136</v>
      </c>
      <c r="C279" s="33">
        <v>184702.44</v>
      </c>
      <c r="D279" s="35">
        <f t="shared" si="4"/>
        <v>44138.94</v>
      </c>
      <c r="E279" s="35"/>
      <c r="F279" s="35"/>
      <c r="G279" s="35"/>
      <c r="H279" s="35"/>
      <c r="I279" s="35"/>
      <c r="J279" s="35"/>
      <c r="K279" s="35">
        <v>2333</v>
      </c>
      <c r="L279" s="35">
        <v>1222.9000000000001</v>
      </c>
      <c r="M279" s="35"/>
      <c r="N279" s="35"/>
      <c r="O279" s="35">
        <v>933.1</v>
      </c>
      <c r="P279" s="35"/>
      <c r="Q279" s="35"/>
      <c r="R279" s="35"/>
      <c r="S279" s="35">
        <v>4354.2</v>
      </c>
      <c r="T279" s="35"/>
      <c r="U279" s="35">
        <f>11359.2+210</f>
        <v>11569.2</v>
      </c>
      <c r="V279" s="35">
        <v>17240.080000000002</v>
      </c>
      <c r="W279" s="36">
        <v>6486.46</v>
      </c>
      <c r="X279" s="35"/>
      <c r="Y279" s="35"/>
      <c r="Z279" s="35"/>
      <c r="AA279" s="8"/>
    </row>
    <row r="280" spans="2:27" s="7" customFormat="1" ht="15.75" hidden="1" customHeight="1" x14ac:dyDescent="0.25">
      <c r="B280" s="13" t="s">
        <v>137</v>
      </c>
      <c r="C280" s="33">
        <v>121278.6</v>
      </c>
      <c r="D280" s="35">
        <f t="shared" si="4"/>
        <v>64470.94</v>
      </c>
      <c r="E280" s="35"/>
      <c r="F280" s="35"/>
      <c r="G280" s="35"/>
      <c r="H280" s="35"/>
      <c r="I280" s="35"/>
      <c r="J280" s="35"/>
      <c r="K280" s="35"/>
      <c r="L280" s="35">
        <v>376.48</v>
      </c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6"/>
      <c r="X280" s="35"/>
      <c r="Y280" s="35">
        <v>64094.46</v>
      </c>
      <c r="Z280" s="35"/>
      <c r="AA280" s="8"/>
    </row>
    <row r="281" spans="2:27" s="7" customFormat="1" ht="15.75" hidden="1" customHeight="1" x14ac:dyDescent="0.25">
      <c r="B281" s="12" t="s">
        <v>2</v>
      </c>
      <c r="C281" s="33">
        <v>323187.96000000002</v>
      </c>
      <c r="D281" s="35">
        <f t="shared" si="4"/>
        <v>204868.13</v>
      </c>
      <c r="E281" s="35"/>
      <c r="F281" s="35"/>
      <c r="G281" s="35"/>
      <c r="H281" s="35"/>
      <c r="I281" s="35"/>
      <c r="J281" s="35"/>
      <c r="K281" s="35">
        <f>1047+349</f>
        <v>1396</v>
      </c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>
        <v>561</v>
      </c>
      <c r="W281" s="36">
        <v>61.78</v>
      </c>
      <c r="X281" s="35"/>
      <c r="Y281" s="35">
        <v>202849.35</v>
      </c>
      <c r="Z281" s="35"/>
      <c r="AA281" s="8"/>
    </row>
    <row r="282" spans="2:27" s="7" customFormat="1" ht="15.75" hidden="1" customHeight="1" x14ac:dyDescent="0.25">
      <c r="B282" s="13" t="s">
        <v>138</v>
      </c>
      <c r="C282" s="33">
        <v>80068.320000000007</v>
      </c>
      <c r="D282" s="35">
        <f t="shared" si="4"/>
        <v>78214.200000000012</v>
      </c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6">
        <v>1108.74</v>
      </c>
      <c r="X282" s="35"/>
      <c r="Y282" s="35">
        <v>77105.460000000006</v>
      </c>
      <c r="Z282" s="35"/>
      <c r="AA282" s="8"/>
    </row>
    <row r="283" spans="2:27" s="15" customFormat="1" ht="15.75" hidden="1" customHeight="1" x14ac:dyDescent="0.25">
      <c r="B283" s="13" t="s">
        <v>139</v>
      </c>
      <c r="C283" s="33">
        <v>378911.64</v>
      </c>
      <c r="D283" s="35">
        <f t="shared" si="4"/>
        <v>213713.43799999999</v>
      </c>
      <c r="E283" s="35"/>
      <c r="F283" s="35"/>
      <c r="G283" s="35"/>
      <c r="H283" s="35"/>
      <c r="I283" s="35"/>
      <c r="J283" s="35"/>
      <c r="K283" s="35">
        <f>3025.15+994</f>
        <v>4019.15</v>
      </c>
      <c r="L283" s="35">
        <v>376.47899999999998</v>
      </c>
      <c r="M283" s="35"/>
      <c r="N283" s="35"/>
      <c r="O283" s="35">
        <v>1204</v>
      </c>
      <c r="P283" s="35"/>
      <c r="Q283" s="35"/>
      <c r="R283" s="35">
        <v>4142</v>
      </c>
      <c r="S283" s="35"/>
      <c r="T283" s="35">
        <v>4070.4</v>
      </c>
      <c r="U283" s="35">
        <f>495.919+3763</f>
        <v>4258.9189999999999</v>
      </c>
      <c r="V283" s="35"/>
      <c r="W283" s="36">
        <v>1108.74</v>
      </c>
      <c r="X283" s="35"/>
      <c r="Y283" s="35">
        <v>194533.75</v>
      </c>
      <c r="Z283" s="35"/>
      <c r="AA283" s="14"/>
    </row>
    <row r="284" spans="2:27" s="7" customFormat="1" ht="15.75" hidden="1" customHeight="1" x14ac:dyDescent="0.25">
      <c r="B284" s="13" t="s">
        <v>140</v>
      </c>
      <c r="C284" s="33">
        <v>129503.16</v>
      </c>
      <c r="D284" s="35">
        <f t="shared" si="4"/>
        <v>13213.719000000001</v>
      </c>
      <c r="E284" s="35"/>
      <c r="F284" s="35"/>
      <c r="G284" s="35"/>
      <c r="H284" s="35"/>
      <c r="I284" s="35"/>
      <c r="J284" s="35"/>
      <c r="K284" s="35">
        <f>3942.75+2634</f>
        <v>6576.75</v>
      </c>
      <c r="L284" s="35"/>
      <c r="M284" s="35"/>
      <c r="N284" s="35"/>
      <c r="O284" s="35"/>
      <c r="P284" s="35"/>
      <c r="Q284" s="35"/>
      <c r="R284" s="35">
        <v>646.77</v>
      </c>
      <c r="S284" s="35"/>
      <c r="T284" s="35">
        <v>4385.54</v>
      </c>
      <c r="U284" s="35">
        <v>495.91899999999998</v>
      </c>
      <c r="V284" s="35"/>
      <c r="W284" s="36">
        <v>1108.74</v>
      </c>
      <c r="X284" s="35"/>
      <c r="Y284" s="35"/>
      <c r="Z284" s="35"/>
      <c r="AA284" s="8"/>
    </row>
    <row r="285" spans="2:27" s="7" customFormat="1" ht="15.75" hidden="1" customHeight="1" x14ac:dyDescent="0.25">
      <c r="B285" s="13" t="s">
        <v>141</v>
      </c>
      <c r="C285" s="33">
        <v>157402.92000000001</v>
      </c>
      <c r="D285" s="35">
        <f t="shared" si="4"/>
        <v>27754.090000000004</v>
      </c>
      <c r="E285" s="35"/>
      <c r="F285" s="35"/>
      <c r="G285" s="35"/>
      <c r="H285" s="35"/>
      <c r="I285" s="35"/>
      <c r="J285" s="35"/>
      <c r="K285" s="35">
        <f>462.3+321+5314.2</f>
        <v>6097.5</v>
      </c>
      <c r="L285" s="35"/>
      <c r="M285" s="35"/>
      <c r="N285" s="35"/>
      <c r="O285" s="35"/>
      <c r="P285" s="35"/>
      <c r="Q285" s="35"/>
      <c r="R285" s="35">
        <f>646.77+2840.26+11682.8</f>
        <v>15169.83</v>
      </c>
      <c r="S285" s="35"/>
      <c r="T285" s="35">
        <f>4385.54+1018</f>
        <v>5403.54</v>
      </c>
      <c r="U285" s="35">
        <v>1083.22</v>
      </c>
      <c r="V285" s="35"/>
      <c r="W285" s="36"/>
      <c r="X285" s="35"/>
      <c r="Y285" s="35"/>
      <c r="Z285" s="35"/>
      <c r="AA285" s="8"/>
    </row>
    <row r="286" spans="2:27" s="7" customFormat="1" ht="15.75" hidden="1" customHeight="1" x14ac:dyDescent="0.25">
      <c r="B286" s="13" t="s">
        <v>142</v>
      </c>
      <c r="C286" s="33">
        <v>92415.360000000001</v>
      </c>
      <c r="D286" s="35">
        <f t="shared" si="4"/>
        <v>13297.7</v>
      </c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>
        <v>13297.7</v>
      </c>
      <c r="U286" s="35"/>
      <c r="V286" s="35"/>
      <c r="W286" s="36"/>
      <c r="X286" s="35"/>
      <c r="Y286" s="35"/>
      <c r="Z286" s="35"/>
      <c r="AA286" s="8"/>
    </row>
    <row r="287" spans="2:27" s="7" customFormat="1" ht="15.75" hidden="1" customHeight="1" x14ac:dyDescent="0.25">
      <c r="B287" s="13" t="s">
        <v>143</v>
      </c>
      <c r="C287" s="33">
        <v>160154.51999999999</v>
      </c>
      <c r="D287" s="35">
        <f t="shared" si="4"/>
        <v>112067.38</v>
      </c>
      <c r="E287" s="35"/>
      <c r="F287" s="35"/>
      <c r="G287" s="35"/>
      <c r="H287" s="35"/>
      <c r="I287" s="35">
        <v>85441</v>
      </c>
      <c r="J287" s="35"/>
      <c r="K287" s="35">
        <v>2332.52</v>
      </c>
      <c r="L287" s="35"/>
      <c r="M287" s="35">
        <v>1356</v>
      </c>
      <c r="N287" s="35"/>
      <c r="O287" s="35"/>
      <c r="P287" s="35"/>
      <c r="Q287" s="35"/>
      <c r="R287" s="35"/>
      <c r="S287" s="35"/>
      <c r="T287" s="35"/>
      <c r="U287" s="35">
        <f>7438.87+10500</f>
        <v>17938.87</v>
      </c>
      <c r="V287" s="35">
        <f>1476.99+561</f>
        <v>2037.99</v>
      </c>
      <c r="W287" s="36">
        <v>2961</v>
      </c>
      <c r="X287" s="35"/>
      <c r="Y287" s="35"/>
      <c r="Z287" s="35"/>
      <c r="AA287" s="8"/>
    </row>
    <row r="288" spans="2:27" s="7" customFormat="1" ht="15.75" hidden="1" customHeight="1" x14ac:dyDescent="0.25">
      <c r="B288" s="13" t="s">
        <v>144</v>
      </c>
      <c r="C288" s="33">
        <v>63841.68</v>
      </c>
      <c r="D288" s="35">
        <f t="shared" si="4"/>
        <v>165721.50699999998</v>
      </c>
      <c r="E288" s="35"/>
      <c r="F288" s="35"/>
      <c r="G288" s="35"/>
      <c r="H288" s="35"/>
      <c r="I288" s="35"/>
      <c r="J288" s="35"/>
      <c r="K288" s="35"/>
      <c r="L288" s="35">
        <v>367.11</v>
      </c>
      <c r="M288" s="35"/>
      <c r="N288" s="35"/>
      <c r="O288" s="35"/>
      <c r="P288" s="35"/>
      <c r="Q288" s="35"/>
      <c r="R288" s="35">
        <f>9838.557+4244</f>
        <v>14082.557000000001</v>
      </c>
      <c r="S288" s="35"/>
      <c r="T288" s="35">
        <f>3113.25+1894</f>
        <v>5007.25</v>
      </c>
      <c r="U288" s="35"/>
      <c r="V288" s="35"/>
      <c r="W288" s="36"/>
      <c r="X288" s="35"/>
      <c r="Y288" s="35">
        <v>146264.59</v>
      </c>
      <c r="Z288" s="35"/>
      <c r="AA288" s="8"/>
    </row>
    <row r="289" spans="1:27" s="7" customFormat="1" ht="15.75" hidden="1" customHeight="1" x14ac:dyDescent="0.25">
      <c r="B289" s="13" t="s">
        <v>145</v>
      </c>
      <c r="C289" s="33">
        <v>184020.72</v>
      </c>
      <c r="D289" s="35">
        <f t="shared" si="4"/>
        <v>1784</v>
      </c>
      <c r="E289" s="35"/>
      <c r="F289" s="35"/>
      <c r="G289" s="35"/>
      <c r="H289" s="35"/>
      <c r="I289" s="35"/>
      <c r="J289" s="35"/>
      <c r="K289" s="35"/>
      <c r="L289" s="35"/>
      <c r="M289" s="35">
        <v>1784</v>
      </c>
      <c r="N289" s="35"/>
      <c r="O289" s="35"/>
      <c r="P289" s="35"/>
      <c r="Q289" s="35"/>
      <c r="R289" s="35"/>
      <c r="S289" s="35"/>
      <c r="T289" s="35"/>
      <c r="U289" s="35"/>
      <c r="V289" s="35"/>
      <c r="W289" s="36"/>
      <c r="X289" s="35"/>
      <c r="Y289" s="35"/>
      <c r="Z289" s="35"/>
      <c r="AA289" s="8"/>
    </row>
    <row r="290" spans="1:27" s="7" customFormat="1" ht="15.75" hidden="1" customHeight="1" x14ac:dyDescent="0.25">
      <c r="B290" s="13" t="s">
        <v>146</v>
      </c>
      <c r="C290" s="33">
        <v>187062.36</v>
      </c>
      <c r="D290" s="35">
        <f t="shared" si="4"/>
        <v>10201.77</v>
      </c>
      <c r="E290" s="35"/>
      <c r="F290" s="35"/>
      <c r="G290" s="35"/>
      <c r="H290" s="35"/>
      <c r="I290" s="35"/>
      <c r="J290" s="35"/>
      <c r="K290" s="35">
        <v>4708.7700000000004</v>
      </c>
      <c r="L290" s="35">
        <v>301</v>
      </c>
      <c r="M290" s="35"/>
      <c r="N290" s="35"/>
      <c r="O290" s="35"/>
      <c r="P290" s="35"/>
      <c r="Q290" s="35"/>
      <c r="R290" s="35"/>
      <c r="S290" s="35"/>
      <c r="T290" s="35"/>
      <c r="U290" s="35">
        <v>1297</v>
      </c>
      <c r="V290" s="35">
        <v>2908</v>
      </c>
      <c r="W290" s="36">
        <v>987</v>
      </c>
      <c r="X290" s="35"/>
      <c r="Y290" s="35"/>
      <c r="Z290" s="35"/>
      <c r="AA290" s="8"/>
    </row>
    <row r="291" spans="1:27" s="7" customFormat="1" ht="15.75" hidden="1" customHeight="1" x14ac:dyDescent="0.25">
      <c r="B291" s="13" t="s">
        <v>147</v>
      </c>
      <c r="C291" s="33">
        <v>197661.96</v>
      </c>
      <c r="D291" s="35">
        <f t="shared" si="4"/>
        <v>29927</v>
      </c>
      <c r="E291" s="35"/>
      <c r="F291" s="35"/>
      <c r="G291" s="35"/>
      <c r="H291" s="35"/>
      <c r="I291" s="35"/>
      <c r="J291" s="35"/>
      <c r="K291" s="35"/>
      <c r="L291" s="35">
        <v>367</v>
      </c>
      <c r="M291" s="35"/>
      <c r="N291" s="35"/>
      <c r="O291" s="35"/>
      <c r="P291" s="35"/>
      <c r="Q291" s="35"/>
      <c r="R291" s="35">
        <v>10324</v>
      </c>
      <c r="S291" s="35"/>
      <c r="T291" s="35"/>
      <c r="U291" s="35"/>
      <c r="V291" s="35">
        <v>17262</v>
      </c>
      <c r="W291" s="36">
        <v>1974</v>
      </c>
      <c r="X291" s="35"/>
      <c r="Y291" s="35"/>
      <c r="Z291" s="35"/>
      <c r="AA291" s="8"/>
    </row>
    <row r="292" spans="1:27" s="7" customFormat="1" ht="15.75" hidden="1" customHeight="1" x14ac:dyDescent="0.25">
      <c r="B292" s="13" t="s">
        <v>148</v>
      </c>
      <c r="C292" s="33">
        <v>67026.59</v>
      </c>
      <c r="D292" s="35">
        <f t="shared" si="4"/>
        <v>0</v>
      </c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6"/>
      <c r="X292" s="35"/>
      <c r="Y292" s="35"/>
      <c r="Z292" s="35"/>
      <c r="AA292" s="8"/>
    </row>
    <row r="293" spans="1:27" s="7" customFormat="1" ht="15.75" hidden="1" customHeight="1" x14ac:dyDescent="0.25">
      <c r="B293" s="13" t="s">
        <v>3</v>
      </c>
      <c r="C293" s="33">
        <v>98259.05</v>
      </c>
      <c r="D293" s="35">
        <f t="shared" si="4"/>
        <v>146961</v>
      </c>
      <c r="E293" s="35"/>
      <c r="F293" s="35"/>
      <c r="G293" s="35">
        <v>137000</v>
      </c>
      <c r="H293" s="35"/>
      <c r="I293" s="35"/>
      <c r="J293" s="35"/>
      <c r="K293" s="35">
        <v>1575</v>
      </c>
      <c r="L293" s="35"/>
      <c r="M293" s="35"/>
      <c r="N293" s="35"/>
      <c r="O293" s="35"/>
      <c r="P293" s="35"/>
      <c r="Q293" s="35"/>
      <c r="R293" s="35">
        <v>5338</v>
      </c>
      <c r="S293" s="35"/>
      <c r="T293" s="35">
        <v>3048</v>
      </c>
      <c r="U293" s="35"/>
      <c r="V293" s="35"/>
      <c r="W293" s="36"/>
      <c r="X293" s="35"/>
      <c r="Y293" s="35"/>
      <c r="Z293" s="35"/>
      <c r="AA293" s="8"/>
    </row>
    <row r="294" spans="1:27" s="7" customFormat="1" ht="15.75" hidden="1" customHeight="1" x14ac:dyDescent="0.25">
      <c r="B294" s="13" t="s">
        <v>286</v>
      </c>
      <c r="C294" s="33">
        <v>180480.86</v>
      </c>
      <c r="D294" s="35">
        <f t="shared" si="4"/>
        <v>4382.78</v>
      </c>
      <c r="E294" s="35"/>
      <c r="F294" s="35"/>
      <c r="G294" s="35"/>
      <c r="H294" s="35"/>
      <c r="I294" s="35"/>
      <c r="J294" s="35"/>
      <c r="K294" s="35">
        <v>3496</v>
      </c>
      <c r="L294" s="35"/>
      <c r="M294" s="35"/>
      <c r="N294" s="35"/>
      <c r="O294" s="35"/>
      <c r="P294" s="35"/>
      <c r="Q294" s="35"/>
      <c r="R294" s="35"/>
      <c r="S294" s="35"/>
      <c r="T294" s="35"/>
      <c r="U294" s="35">
        <v>327</v>
      </c>
      <c r="V294" s="35">
        <v>559.78</v>
      </c>
      <c r="W294" s="36"/>
      <c r="X294" s="35"/>
      <c r="Y294" s="35"/>
      <c r="Z294" s="35"/>
      <c r="AA294" s="8"/>
    </row>
    <row r="295" spans="1:27" s="7" customFormat="1" ht="15.75" hidden="1" customHeight="1" x14ac:dyDescent="0.25">
      <c r="B295" s="12" t="s">
        <v>290</v>
      </c>
      <c r="C295" s="33">
        <v>411580.68</v>
      </c>
      <c r="D295" s="35">
        <f t="shared" si="4"/>
        <v>249953.66</v>
      </c>
      <c r="E295" s="35"/>
      <c r="F295" s="35"/>
      <c r="G295" s="35"/>
      <c r="H295" s="35">
        <v>63619.6</v>
      </c>
      <c r="I295" s="35"/>
      <c r="J295" s="35"/>
      <c r="K295" s="35">
        <f>2823.7+1651.82</f>
        <v>4475.5199999999995</v>
      </c>
      <c r="L295" s="35"/>
      <c r="M295" s="35">
        <v>4992</v>
      </c>
      <c r="N295" s="35">
        <v>29829.7</v>
      </c>
      <c r="O295" s="35"/>
      <c r="P295" s="35"/>
      <c r="Q295" s="35"/>
      <c r="R295" s="35"/>
      <c r="S295" s="35"/>
      <c r="T295" s="35">
        <f>35587.53+1285.78</f>
        <v>36873.31</v>
      </c>
      <c r="U295" s="35">
        <f>23572.23+58</f>
        <v>23630.23</v>
      </c>
      <c r="V295" s="35">
        <f>115241+1122</f>
        <v>116363</v>
      </c>
      <c r="W295" s="36"/>
      <c r="X295" s="35"/>
      <c r="Y295" s="35"/>
      <c r="Z295" s="35"/>
      <c r="AA295" s="8"/>
    </row>
    <row r="296" spans="1:27" s="7" customFormat="1" ht="15.75" hidden="1" customHeight="1" x14ac:dyDescent="0.25">
      <c r="B296" s="12" t="s">
        <v>289</v>
      </c>
      <c r="C296" s="33">
        <v>607288.80000000005</v>
      </c>
      <c r="D296" s="35">
        <f t="shared" si="4"/>
        <v>93567.98</v>
      </c>
      <c r="E296" s="35">
        <v>4420</v>
      </c>
      <c r="F296" s="35">
        <v>70000</v>
      </c>
      <c r="G296" s="35"/>
      <c r="H296" s="35"/>
      <c r="I296" s="35"/>
      <c r="J296" s="35"/>
      <c r="K296" s="35">
        <v>2680.98</v>
      </c>
      <c r="L296" s="35"/>
      <c r="M296" s="35">
        <v>3158</v>
      </c>
      <c r="N296" s="35"/>
      <c r="O296" s="35"/>
      <c r="P296" s="35"/>
      <c r="Q296" s="35"/>
      <c r="R296" s="35">
        <v>1403</v>
      </c>
      <c r="S296" s="35"/>
      <c r="T296" s="35"/>
      <c r="U296" s="35">
        <v>11345</v>
      </c>
      <c r="V296" s="35">
        <v>561</v>
      </c>
      <c r="W296" s="36"/>
      <c r="X296" s="35"/>
      <c r="Y296" s="35"/>
      <c r="Z296" s="35"/>
      <c r="AA296" s="8"/>
    </row>
    <row r="297" spans="1:27" s="7" customFormat="1" ht="15.75" hidden="1" customHeight="1" x14ac:dyDescent="0.25">
      <c r="B297" s="12" t="s">
        <v>288</v>
      </c>
      <c r="C297" s="33">
        <v>112730.26</v>
      </c>
      <c r="D297" s="35">
        <f t="shared" si="4"/>
        <v>3052.94</v>
      </c>
      <c r="E297" s="35"/>
      <c r="F297" s="35"/>
      <c r="G297" s="35"/>
      <c r="H297" s="35"/>
      <c r="I297" s="35"/>
      <c r="J297" s="35"/>
      <c r="K297" s="35">
        <f>1197.94+356</f>
        <v>1553.94</v>
      </c>
      <c r="L297" s="35">
        <v>678</v>
      </c>
      <c r="M297" s="35">
        <v>821</v>
      </c>
      <c r="N297" s="35"/>
      <c r="O297" s="35"/>
      <c r="P297" s="35"/>
      <c r="Q297" s="35"/>
      <c r="R297" s="35"/>
      <c r="S297" s="35"/>
      <c r="T297" s="35"/>
      <c r="U297" s="35"/>
      <c r="V297" s="35"/>
      <c r="W297" s="36"/>
      <c r="X297" s="35"/>
      <c r="Y297" s="35"/>
      <c r="Z297" s="35"/>
      <c r="AA297" s="8"/>
    </row>
    <row r="298" spans="1:27" s="7" customFormat="1" ht="15.75" hidden="1" customHeight="1" x14ac:dyDescent="0.25">
      <c r="B298" s="12" t="s">
        <v>287</v>
      </c>
      <c r="C298" s="33">
        <v>146580.84</v>
      </c>
      <c r="D298" s="35">
        <f t="shared" si="4"/>
        <v>10708.4</v>
      </c>
      <c r="E298" s="35"/>
      <c r="F298" s="35"/>
      <c r="G298" s="35"/>
      <c r="H298" s="35"/>
      <c r="I298" s="35"/>
      <c r="J298" s="35"/>
      <c r="K298" s="35">
        <f>1197.78+1575+512+1197.94</f>
        <v>4482.7199999999993</v>
      </c>
      <c r="L298" s="35"/>
      <c r="M298" s="35"/>
      <c r="N298" s="35"/>
      <c r="O298" s="35"/>
      <c r="P298" s="35">
        <v>5117.66</v>
      </c>
      <c r="Q298" s="35"/>
      <c r="R298" s="35">
        <v>1108.02</v>
      </c>
      <c r="S298" s="35"/>
      <c r="T298" s="35"/>
      <c r="U298" s="35"/>
      <c r="V298" s="35"/>
      <c r="W298" s="36"/>
      <c r="X298" s="35"/>
      <c r="Y298" s="35"/>
      <c r="Z298" s="35"/>
      <c r="AA298" s="8"/>
    </row>
    <row r="299" spans="1:27" s="7" customFormat="1" ht="15.75" hidden="1" customHeight="1" x14ac:dyDescent="0.25">
      <c r="B299" s="12" t="s">
        <v>150</v>
      </c>
      <c r="C299" s="33">
        <v>88156.27</v>
      </c>
      <c r="D299" s="35">
        <f t="shared" si="4"/>
        <v>167537.19</v>
      </c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>
        <v>5118</v>
      </c>
      <c r="Q299" s="35"/>
      <c r="R299" s="35"/>
      <c r="S299" s="35"/>
      <c r="T299" s="35"/>
      <c r="U299" s="35"/>
      <c r="V299" s="35"/>
      <c r="W299" s="36"/>
      <c r="X299" s="35"/>
      <c r="Y299" s="35">
        <v>162419.19</v>
      </c>
      <c r="Z299" s="35"/>
      <c r="AA299" s="8"/>
    </row>
    <row r="300" spans="1:27" s="7" customFormat="1" ht="15.75" hidden="1" customHeight="1" x14ac:dyDescent="0.25">
      <c r="A300" s="7">
        <v>2137.5</v>
      </c>
      <c r="B300" s="12" t="s">
        <v>151</v>
      </c>
      <c r="C300" s="33">
        <v>168131.72</v>
      </c>
      <c r="D300" s="35">
        <f t="shared" si="4"/>
        <v>87718.563000000009</v>
      </c>
      <c r="E300" s="35"/>
      <c r="F300" s="35"/>
      <c r="G300" s="35"/>
      <c r="H300" s="35"/>
      <c r="I300" s="35"/>
      <c r="J300" s="35"/>
      <c r="K300" s="35">
        <v>2137.5</v>
      </c>
      <c r="L300" s="35"/>
      <c r="M300" s="35"/>
      <c r="N300" s="35"/>
      <c r="O300" s="35"/>
      <c r="P300" s="35">
        <v>3812.9929999999999</v>
      </c>
      <c r="Q300" s="35"/>
      <c r="R300" s="35"/>
      <c r="S300" s="35"/>
      <c r="T300" s="35">
        <f>474.63+1253</f>
        <v>1727.63</v>
      </c>
      <c r="U300" s="35">
        <v>228</v>
      </c>
      <c r="V300" s="35"/>
      <c r="W300" s="36"/>
      <c r="X300" s="35"/>
      <c r="Y300" s="35">
        <v>79812.44</v>
      </c>
      <c r="Z300" s="35"/>
      <c r="AA300" s="8"/>
    </row>
    <row r="301" spans="1:27" s="7" customFormat="1" ht="15.75" hidden="1" customHeight="1" x14ac:dyDescent="0.25">
      <c r="B301" s="12" t="s">
        <v>152</v>
      </c>
      <c r="C301" s="33">
        <v>113641.74</v>
      </c>
      <c r="D301" s="35">
        <f t="shared" si="4"/>
        <v>2213.25</v>
      </c>
      <c r="E301" s="35"/>
      <c r="F301" s="35"/>
      <c r="G301" s="35"/>
      <c r="H301" s="35"/>
      <c r="I301" s="35"/>
      <c r="J301" s="35"/>
      <c r="K301" s="35">
        <v>1024.25</v>
      </c>
      <c r="L301" s="35"/>
      <c r="M301" s="35">
        <v>1189</v>
      </c>
      <c r="N301" s="35"/>
      <c r="O301" s="35"/>
      <c r="P301" s="35"/>
      <c r="Q301" s="35"/>
      <c r="R301" s="35"/>
      <c r="S301" s="35"/>
      <c r="T301" s="35"/>
      <c r="U301" s="35"/>
      <c r="V301" s="35"/>
      <c r="W301" s="36"/>
      <c r="X301" s="35"/>
      <c r="Y301" s="35"/>
      <c r="Z301" s="35"/>
      <c r="AA301" s="8"/>
    </row>
    <row r="302" spans="1:27" s="7" customFormat="1" ht="15.75" hidden="1" customHeight="1" x14ac:dyDescent="0.25">
      <c r="B302" s="12" t="s">
        <v>153</v>
      </c>
      <c r="C302" s="33">
        <v>108137.8</v>
      </c>
      <c r="D302" s="35">
        <f t="shared" si="4"/>
        <v>67031.38</v>
      </c>
      <c r="E302" s="35"/>
      <c r="F302" s="35"/>
      <c r="G302" s="35"/>
      <c r="H302" s="35"/>
      <c r="I302" s="35"/>
      <c r="J302" s="35"/>
      <c r="K302" s="35"/>
      <c r="L302" s="35">
        <v>367</v>
      </c>
      <c r="M302" s="35">
        <v>1784</v>
      </c>
      <c r="N302" s="35"/>
      <c r="O302" s="35"/>
      <c r="P302" s="35"/>
      <c r="Q302" s="35"/>
      <c r="R302" s="35"/>
      <c r="S302" s="35"/>
      <c r="T302" s="35"/>
      <c r="U302" s="35"/>
      <c r="V302" s="35"/>
      <c r="W302" s="36"/>
      <c r="X302" s="35"/>
      <c r="Y302" s="35">
        <v>64880.38</v>
      </c>
      <c r="Z302" s="35"/>
      <c r="AA302" s="8"/>
    </row>
    <row r="303" spans="1:27" s="7" customFormat="1" ht="15.75" hidden="1" customHeight="1" x14ac:dyDescent="0.25">
      <c r="B303" s="12" t="s">
        <v>154</v>
      </c>
      <c r="C303" s="33">
        <v>173051.64</v>
      </c>
      <c r="D303" s="35">
        <f t="shared" si="4"/>
        <v>12575</v>
      </c>
      <c r="E303" s="35"/>
      <c r="F303" s="35"/>
      <c r="G303" s="35"/>
      <c r="H303" s="35"/>
      <c r="I303" s="35"/>
      <c r="J303" s="35"/>
      <c r="K303" s="35">
        <v>2217</v>
      </c>
      <c r="L303" s="35"/>
      <c r="M303" s="35">
        <v>5996</v>
      </c>
      <c r="N303" s="35"/>
      <c r="O303" s="35"/>
      <c r="P303" s="35"/>
      <c r="Q303" s="35"/>
      <c r="R303" s="35">
        <v>2899</v>
      </c>
      <c r="S303" s="35"/>
      <c r="T303" s="35"/>
      <c r="U303" s="35">
        <v>1463</v>
      </c>
      <c r="V303" s="35"/>
      <c r="W303" s="36"/>
      <c r="X303" s="35"/>
      <c r="Y303" s="35"/>
      <c r="Z303" s="35"/>
      <c r="AA303" s="8"/>
    </row>
    <row r="304" spans="1:27" s="7" customFormat="1" ht="15.75" hidden="1" customHeight="1" x14ac:dyDescent="0.25">
      <c r="B304" s="12" t="s">
        <v>155</v>
      </c>
      <c r="C304" s="33">
        <v>173300.58</v>
      </c>
      <c r="D304" s="35">
        <f t="shared" si="4"/>
        <v>96538.35</v>
      </c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>
        <v>8081</v>
      </c>
      <c r="Q304" s="35"/>
      <c r="R304" s="35"/>
      <c r="S304" s="35"/>
      <c r="T304" s="35"/>
      <c r="U304" s="35"/>
      <c r="V304" s="35"/>
      <c r="W304" s="36"/>
      <c r="X304" s="35"/>
      <c r="Y304" s="35">
        <v>88457.35</v>
      </c>
      <c r="Z304" s="35"/>
      <c r="AA304" s="8"/>
    </row>
    <row r="305" spans="1:27" s="7" customFormat="1" ht="15.75" hidden="1" customHeight="1" x14ac:dyDescent="0.25">
      <c r="B305" s="12" t="s">
        <v>156</v>
      </c>
      <c r="C305" s="33">
        <v>46421.17</v>
      </c>
      <c r="D305" s="35">
        <f t="shared" si="4"/>
        <v>48879.32</v>
      </c>
      <c r="E305" s="35"/>
      <c r="F305" s="35"/>
      <c r="G305" s="35"/>
      <c r="H305" s="35"/>
      <c r="I305" s="35"/>
      <c r="J305" s="35"/>
      <c r="K305" s="35"/>
      <c r="L305" s="35">
        <v>367</v>
      </c>
      <c r="M305" s="35">
        <v>1795</v>
      </c>
      <c r="N305" s="35"/>
      <c r="O305" s="35"/>
      <c r="P305" s="35"/>
      <c r="Q305" s="35"/>
      <c r="R305" s="35"/>
      <c r="S305" s="35"/>
      <c r="T305" s="35"/>
      <c r="U305" s="35"/>
      <c r="V305" s="35"/>
      <c r="W305" s="36"/>
      <c r="X305" s="35"/>
      <c r="Y305" s="35">
        <v>46717.32</v>
      </c>
      <c r="Z305" s="35"/>
      <c r="AA305" s="8"/>
    </row>
    <row r="306" spans="1:27" s="7" customFormat="1" ht="15.75" hidden="1" customHeight="1" x14ac:dyDescent="0.25">
      <c r="B306" s="12" t="s">
        <v>157</v>
      </c>
      <c r="C306" s="33">
        <v>178386.76</v>
      </c>
      <c r="D306" s="35">
        <f t="shared" si="4"/>
        <v>560.43799999999999</v>
      </c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>
        <v>341.185</v>
      </c>
      <c r="V306" s="35">
        <f>112.253+107</f>
        <v>219.25299999999999</v>
      </c>
      <c r="W306" s="36"/>
      <c r="X306" s="35"/>
      <c r="Y306" s="35"/>
      <c r="Z306" s="35"/>
      <c r="AA306" s="8"/>
    </row>
    <row r="307" spans="1:27" s="7" customFormat="1" ht="15.75" hidden="1" customHeight="1" x14ac:dyDescent="0.25">
      <c r="B307" s="13" t="s">
        <v>158</v>
      </c>
      <c r="C307" s="33">
        <v>251684.85</v>
      </c>
      <c r="D307" s="35">
        <f t="shared" si="4"/>
        <v>173427.43</v>
      </c>
      <c r="E307" s="35"/>
      <c r="F307" s="35"/>
      <c r="G307" s="35"/>
      <c r="H307" s="35"/>
      <c r="I307" s="35"/>
      <c r="J307" s="35"/>
      <c r="K307" s="35"/>
      <c r="L307" s="35">
        <v>601</v>
      </c>
      <c r="M307" s="35">
        <v>5384</v>
      </c>
      <c r="N307" s="35"/>
      <c r="O307" s="35"/>
      <c r="P307" s="35"/>
      <c r="Q307" s="35"/>
      <c r="R307" s="35"/>
      <c r="S307" s="35"/>
      <c r="T307" s="35"/>
      <c r="U307" s="35"/>
      <c r="V307" s="35"/>
      <c r="W307" s="36">
        <f>865.52+9659</f>
        <v>10524.52</v>
      </c>
      <c r="X307" s="35"/>
      <c r="Y307" s="35">
        <v>156917.91</v>
      </c>
      <c r="Z307" s="35"/>
      <c r="AA307" s="8"/>
    </row>
    <row r="308" spans="1:27" s="7" customFormat="1" ht="15.75" hidden="1" customHeight="1" x14ac:dyDescent="0.25">
      <c r="B308" s="13" t="s">
        <v>159</v>
      </c>
      <c r="C308" s="33">
        <v>584317.80000000005</v>
      </c>
      <c r="D308" s="35">
        <f t="shared" si="4"/>
        <v>40366.527600000001</v>
      </c>
      <c r="E308" s="35"/>
      <c r="F308" s="35"/>
      <c r="G308" s="35"/>
      <c r="H308" s="35"/>
      <c r="I308" s="35"/>
      <c r="J308" s="35"/>
      <c r="K308" s="35">
        <f>5100.87+6632.99+1125.72</f>
        <v>12859.58</v>
      </c>
      <c r="L308" s="35">
        <f>367.11+302</f>
        <v>669.11</v>
      </c>
      <c r="M308" s="35"/>
      <c r="N308" s="35"/>
      <c r="O308" s="35">
        <v>17232.4486</v>
      </c>
      <c r="P308" s="35"/>
      <c r="Q308" s="35"/>
      <c r="R308" s="35">
        <v>5592</v>
      </c>
      <c r="S308" s="35"/>
      <c r="T308" s="35"/>
      <c r="U308" s="35">
        <f>811.864+2768.76</f>
        <v>3580.6240000000003</v>
      </c>
      <c r="V308" s="35"/>
      <c r="W308" s="36">
        <v>432.76499999999999</v>
      </c>
      <c r="X308" s="35"/>
      <c r="Y308" s="35"/>
      <c r="Z308" s="35"/>
      <c r="AA308" s="8"/>
    </row>
    <row r="309" spans="1:27" s="7" customFormat="1" ht="15.75" hidden="1" customHeight="1" x14ac:dyDescent="0.25">
      <c r="B309" s="13" t="s">
        <v>160</v>
      </c>
      <c r="C309" s="33">
        <v>750518.88</v>
      </c>
      <c r="D309" s="35">
        <f t="shared" si="4"/>
        <v>58476.28300000001</v>
      </c>
      <c r="E309" s="35"/>
      <c r="F309" s="35"/>
      <c r="G309" s="35"/>
      <c r="H309" s="35"/>
      <c r="I309" s="35"/>
      <c r="J309" s="35"/>
      <c r="K309" s="35"/>
      <c r="L309" s="35">
        <f>367+302+272.24</f>
        <v>941.24</v>
      </c>
      <c r="M309" s="35">
        <v>3589.98</v>
      </c>
      <c r="N309" s="35"/>
      <c r="O309" s="35">
        <v>2158.2199999999998</v>
      </c>
      <c r="P309" s="35"/>
      <c r="Q309" s="35"/>
      <c r="R309" s="35">
        <f>1392.7+2272.928+22248.95</f>
        <v>25914.578000000001</v>
      </c>
      <c r="S309" s="35"/>
      <c r="T309" s="35">
        <f>1462.02+1384.1</f>
        <v>2846.12</v>
      </c>
      <c r="U309" s="35">
        <f>4059.33+6595.86</f>
        <v>10655.189999999999</v>
      </c>
      <c r="V309" s="35">
        <v>11938.19</v>
      </c>
      <c r="W309" s="36">
        <v>432.76499999999999</v>
      </c>
      <c r="X309" s="35"/>
      <c r="Y309" s="35"/>
      <c r="Z309" s="35"/>
      <c r="AA309" s="8"/>
    </row>
    <row r="310" spans="1:27" s="7" customFormat="1" ht="15.75" hidden="1" customHeight="1" x14ac:dyDescent="0.25">
      <c r="B310" s="12" t="s">
        <v>161</v>
      </c>
      <c r="C310" s="33">
        <v>64770.54</v>
      </c>
      <c r="D310" s="35">
        <f t="shared" si="4"/>
        <v>46955.88</v>
      </c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>
        <v>1723</v>
      </c>
      <c r="S310" s="35"/>
      <c r="T310" s="35"/>
      <c r="U310" s="35"/>
      <c r="V310" s="35"/>
      <c r="W310" s="36"/>
      <c r="X310" s="35"/>
      <c r="Y310" s="35">
        <v>45232.88</v>
      </c>
      <c r="Z310" s="35"/>
      <c r="AA310" s="8"/>
    </row>
    <row r="311" spans="1:27" s="7" customFormat="1" ht="15.75" hidden="1" customHeight="1" x14ac:dyDescent="0.25">
      <c r="B311" s="12" t="s">
        <v>162</v>
      </c>
      <c r="C311" s="33">
        <v>162377.76</v>
      </c>
      <c r="D311" s="35">
        <f t="shared" si="4"/>
        <v>79315.709999999992</v>
      </c>
      <c r="E311" s="35"/>
      <c r="F311" s="35"/>
      <c r="G311" s="35"/>
      <c r="H311" s="35"/>
      <c r="I311" s="35"/>
      <c r="J311" s="35"/>
      <c r="K311" s="35"/>
      <c r="L311" s="35">
        <v>376.48</v>
      </c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6"/>
      <c r="X311" s="35"/>
      <c r="Y311" s="35">
        <v>78939.23</v>
      </c>
      <c r="Z311" s="35"/>
      <c r="AA311" s="8"/>
    </row>
    <row r="312" spans="1:27" s="7" customFormat="1" ht="15.75" hidden="1" customHeight="1" x14ac:dyDescent="0.25">
      <c r="B312" s="13" t="s">
        <v>163</v>
      </c>
      <c r="C312" s="33">
        <v>29145.25</v>
      </c>
      <c r="D312" s="35">
        <f t="shared" si="4"/>
        <v>241094.13999999998</v>
      </c>
      <c r="E312" s="35"/>
      <c r="F312" s="35"/>
      <c r="G312" s="35"/>
      <c r="H312" s="35"/>
      <c r="I312" s="35"/>
      <c r="J312" s="35"/>
      <c r="K312" s="35">
        <v>705.53</v>
      </c>
      <c r="L312" s="35">
        <v>367</v>
      </c>
      <c r="M312" s="35"/>
      <c r="N312" s="35"/>
      <c r="O312" s="35"/>
      <c r="P312" s="35">
        <v>5387</v>
      </c>
      <c r="Q312" s="35"/>
      <c r="R312" s="35"/>
      <c r="S312" s="35"/>
      <c r="T312" s="35"/>
      <c r="U312" s="35"/>
      <c r="V312" s="35"/>
      <c r="W312" s="36"/>
      <c r="X312" s="35"/>
      <c r="Y312" s="35">
        <v>234634.61</v>
      </c>
      <c r="Z312" s="35"/>
      <c r="AA312" s="8"/>
    </row>
    <row r="313" spans="1:27" s="7" customFormat="1" ht="15.75" hidden="1" customHeight="1" x14ac:dyDescent="0.25">
      <c r="B313" s="12" t="s">
        <v>278</v>
      </c>
      <c r="C313" s="33">
        <v>603106.56000000006</v>
      </c>
      <c r="D313" s="35">
        <f t="shared" si="4"/>
        <v>380784.56000000006</v>
      </c>
      <c r="E313" s="35"/>
      <c r="F313" s="35"/>
      <c r="G313" s="35"/>
      <c r="H313" s="35">
        <v>527.46</v>
      </c>
      <c r="I313" s="35"/>
      <c r="J313" s="35"/>
      <c r="K313" s="35">
        <f>6640.39+7693.16</f>
        <v>14333.55</v>
      </c>
      <c r="L313" s="35"/>
      <c r="M313" s="35">
        <v>29034.959999999999</v>
      </c>
      <c r="N313" s="35"/>
      <c r="O313" s="35"/>
      <c r="P313" s="35"/>
      <c r="Q313" s="35"/>
      <c r="R313" s="35"/>
      <c r="S313" s="35"/>
      <c r="T313" s="35"/>
      <c r="U313" s="35">
        <v>32402.799999999999</v>
      </c>
      <c r="V313" s="35">
        <v>548.36</v>
      </c>
      <c r="W313" s="36"/>
      <c r="X313" s="35"/>
      <c r="Y313" s="35">
        <v>299951.59000000003</v>
      </c>
      <c r="Z313" s="35">
        <v>3985.84</v>
      </c>
      <c r="AA313" s="8"/>
    </row>
    <row r="314" spans="1:27" s="7" customFormat="1" ht="15.75" hidden="1" customHeight="1" x14ac:dyDescent="0.25">
      <c r="B314" s="12" t="s">
        <v>279</v>
      </c>
      <c r="C314" s="33">
        <v>306429.71999999997</v>
      </c>
      <c r="D314" s="35">
        <f t="shared" si="4"/>
        <v>48936</v>
      </c>
      <c r="E314" s="35"/>
      <c r="F314" s="35"/>
      <c r="G314" s="35"/>
      <c r="H314" s="35"/>
      <c r="I314" s="35"/>
      <c r="J314" s="35"/>
      <c r="K314" s="35">
        <v>1575</v>
      </c>
      <c r="L314" s="35">
        <v>302</v>
      </c>
      <c r="M314" s="35"/>
      <c r="N314" s="35"/>
      <c r="O314" s="35"/>
      <c r="P314" s="35"/>
      <c r="Q314" s="35"/>
      <c r="R314" s="35">
        <v>47059</v>
      </c>
      <c r="S314" s="35"/>
      <c r="T314" s="35"/>
      <c r="U314" s="35"/>
      <c r="V314" s="35"/>
      <c r="W314" s="36"/>
      <c r="X314" s="35"/>
      <c r="Y314" s="35"/>
      <c r="Z314" s="35"/>
      <c r="AA314" s="8"/>
    </row>
    <row r="315" spans="1:27" s="7" customFormat="1" ht="15.75" hidden="1" customHeight="1" x14ac:dyDescent="0.25">
      <c r="B315" s="12" t="s">
        <v>280</v>
      </c>
      <c r="C315" s="33">
        <v>61891.83</v>
      </c>
      <c r="D315" s="35">
        <f t="shared" si="4"/>
        <v>65319.73</v>
      </c>
      <c r="E315" s="35"/>
      <c r="F315" s="35"/>
      <c r="G315" s="35"/>
      <c r="H315" s="35"/>
      <c r="I315" s="35">
        <v>62955</v>
      </c>
      <c r="J315" s="35"/>
      <c r="K315" s="35">
        <v>1836.72</v>
      </c>
      <c r="L315" s="35"/>
      <c r="M315" s="35"/>
      <c r="N315" s="35"/>
      <c r="O315" s="35"/>
      <c r="P315" s="35"/>
      <c r="Q315" s="35"/>
      <c r="R315" s="35"/>
      <c r="S315" s="35"/>
      <c r="T315" s="35"/>
      <c r="U315" s="35">
        <v>528.01</v>
      </c>
      <c r="V315" s="35"/>
      <c r="W315" s="36"/>
      <c r="X315" s="35"/>
      <c r="Y315" s="35"/>
      <c r="Z315" s="35"/>
      <c r="AA315" s="8"/>
    </row>
    <row r="316" spans="1:27" s="7" customFormat="1" ht="15.75" hidden="1" customHeight="1" x14ac:dyDescent="0.25">
      <c r="B316" s="12" t="s">
        <v>281</v>
      </c>
      <c r="C316" s="33">
        <v>24227.27</v>
      </c>
      <c r="D316" s="35">
        <f t="shared" si="4"/>
        <v>29948.14</v>
      </c>
      <c r="E316" s="35"/>
      <c r="F316" s="35"/>
      <c r="G316" s="35"/>
      <c r="H316" s="35"/>
      <c r="I316" s="35"/>
      <c r="J316" s="35"/>
      <c r="K316" s="35">
        <v>2441.66</v>
      </c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6"/>
      <c r="X316" s="35"/>
      <c r="Y316" s="35">
        <v>27506.48</v>
      </c>
      <c r="Z316" s="35"/>
      <c r="AA316" s="8"/>
    </row>
    <row r="317" spans="1:27" s="7" customFormat="1" ht="15.75" hidden="1" customHeight="1" x14ac:dyDescent="0.25">
      <c r="B317" s="12" t="s">
        <v>282</v>
      </c>
      <c r="C317" s="33">
        <v>98758.41</v>
      </c>
      <c r="D317" s="35">
        <f t="shared" si="4"/>
        <v>75619.819999999992</v>
      </c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>
        <v>625</v>
      </c>
      <c r="U317" s="35"/>
      <c r="V317" s="35">
        <v>509.03</v>
      </c>
      <c r="W317" s="36"/>
      <c r="X317" s="35"/>
      <c r="Y317" s="35">
        <v>74485.789999999994</v>
      </c>
      <c r="Z317" s="35"/>
      <c r="AA317" s="8"/>
    </row>
    <row r="318" spans="1:27" s="7" customFormat="1" ht="15.75" hidden="1" customHeight="1" x14ac:dyDescent="0.25">
      <c r="B318" s="12" t="s">
        <v>283</v>
      </c>
      <c r="C318" s="33">
        <v>76917.98</v>
      </c>
      <c r="D318" s="35">
        <f t="shared" si="4"/>
        <v>47503.24</v>
      </c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6"/>
      <c r="X318" s="35"/>
      <c r="Y318" s="35">
        <v>47503.24</v>
      </c>
      <c r="Z318" s="35"/>
      <c r="AA318" s="8"/>
    </row>
    <row r="319" spans="1:27" s="7" customFormat="1" ht="15.75" hidden="1" customHeight="1" x14ac:dyDescent="0.25">
      <c r="B319" s="12" t="s">
        <v>284</v>
      </c>
      <c r="C319" s="33">
        <v>26302.23</v>
      </c>
      <c r="D319" s="35">
        <f t="shared" si="4"/>
        <v>6628.17</v>
      </c>
      <c r="E319" s="35"/>
      <c r="F319" s="35"/>
      <c r="G319" s="35"/>
      <c r="H319" s="35"/>
      <c r="I319" s="35"/>
      <c r="J319" s="35"/>
      <c r="K319" s="35">
        <v>4335.54</v>
      </c>
      <c r="L319" s="35"/>
      <c r="M319" s="35">
        <v>1795</v>
      </c>
      <c r="N319" s="35"/>
      <c r="O319" s="35"/>
      <c r="P319" s="35"/>
      <c r="Q319" s="35"/>
      <c r="R319" s="35"/>
      <c r="S319" s="35"/>
      <c r="T319" s="35"/>
      <c r="U319" s="35"/>
      <c r="V319" s="35">
        <v>497.63</v>
      </c>
      <c r="W319" s="36"/>
      <c r="X319" s="35"/>
      <c r="Y319" s="35"/>
      <c r="Z319" s="35"/>
      <c r="AA319" s="8"/>
    </row>
    <row r="320" spans="1:27" s="7" customFormat="1" ht="15.75" hidden="1" customHeight="1" x14ac:dyDescent="0.25">
      <c r="A320" s="7">
        <v>347</v>
      </c>
      <c r="B320" s="12" t="s">
        <v>186</v>
      </c>
      <c r="C320" s="33">
        <v>47816.17</v>
      </c>
      <c r="D320" s="35">
        <f t="shared" si="4"/>
        <v>38115.089999999997</v>
      </c>
      <c r="E320" s="35"/>
      <c r="F320" s="35"/>
      <c r="G320" s="35"/>
      <c r="H320" s="35"/>
      <c r="I320" s="35"/>
      <c r="J320" s="35"/>
      <c r="K320" s="35">
        <v>2038</v>
      </c>
      <c r="L320" s="35"/>
      <c r="M320" s="35"/>
      <c r="N320" s="35"/>
      <c r="O320" s="35"/>
      <c r="P320" s="35"/>
      <c r="Q320" s="35"/>
      <c r="R320" s="35">
        <v>423</v>
      </c>
      <c r="S320" s="35">
        <v>4354</v>
      </c>
      <c r="T320" s="35"/>
      <c r="U320" s="35"/>
      <c r="V320" s="35"/>
      <c r="W320" s="36"/>
      <c r="X320" s="35"/>
      <c r="Y320" s="35">
        <v>30388.09</v>
      </c>
      <c r="Z320" s="35">
        <v>912</v>
      </c>
      <c r="AA320" s="8"/>
    </row>
    <row r="321" spans="1:27" s="7" customFormat="1" ht="15.75" hidden="1" customHeight="1" x14ac:dyDescent="0.25">
      <c r="A321" s="7">
        <v>348</v>
      </c>
      <c r="B321" s="12" t="s">
        <v>187</v>
      </c>
      <c r="C321" s="33">
        <v>119132.43</v>
      </c>
      <c r="D321" s="35">
        <f t="shared" si="4"/>
        <v>71343.28</v>
      </c>
      <c r="E321" s="35"/>
      <c r="F321" s="35"/>
      <c r="G321" s="35"/>
      <c r="H321" s="35"/>
      <c r="I321" s="35"/>
      <c r="J321" s="35"/>
      <c r="K321" s="35">
        <v>378.78</v>
      </c>
      <c r="L321" s="35"/>
      <c r="M321" s="35"/>
      <c r="N321" s="35"/>
      <c r="O321" s="35"/>
      <c r="P321" s="35"/>
      <c r="Q321" s="35"/>
      <c r="R321" s="35">
        <f>9028.18+4143.26</f>
        <v>13171.44</v>
      </c>
      <c r="S321" s="35"/>
      <c r="T321" s="35">
        <f>1037.22+345.74</f>
        <v>1382.96</v>
      </c>
      <c r="U321" s="35"/>
      <c r="V321" s="35"/>
      <c r="W321" s="36"/>
      <c r="X321" s="35"/>
      <c r="Y321" s="35">
        <v>56410.1</v>
      </c>
      <c r="Z321" s="35"/>
      <c r="AA321" s="8"/>
    </row>
    <row r="322" spans="1:27" s="7" customFormat="1" ht="15.75" hidden="1" customHeight="1" x14ac:dyDescent="0.25">
      <c r="A322" s="7">
        <v>349</v>
      </c>
      <c r="B322" s="12" t="s">
        <v>188</v>
      </c>
      <c r="C322" s="33">
        <v>79292.06</v>
      </c>
      <c r="D322" s="35">
        <f t="shared" si="4"/>
        <v>58593.14</v>
      </c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6"/>
      <c r="X322" s="35"/>
      <c r="Y322" s="35">
        <v>58593.14</v>
      </c>
      <c r="Z322" s="35"/>
      <c r="AA322" s="8"/>
    </row>
    <row r="323" spans="1:27" s="7" customFormat="1" ht="15.75" hidden="1" customHeight="1" x14ac:dyDescent="0.25">
      <c r="A323" s="7">
        <v>350</v>
      </c>
      <c r="B323" s="12" t="s">
        <v>189</v>
      </c>
      <c r="C323" s="33">
        <v>81615.83</v>
      </c>
      <c r="D323" s="35">
        <f t="shared" si="4"/>
        <v>48117.56</v>
      </c>
      <c r="E323" s="35"/>
      <c r="F323" s="35"/>
      <c r="G323" s="35"/>
      <c r="H323" s="35">
        <v>527</v>
      </c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6"/>
      <c r="X323" s="35"/>
      <c r="Y323" s="35">
        <v>47590.559999999998</v>
      </c>
      <c r="Z323" s="35"/>
      <c r="AA323" s="8"/>
    </row>
    <row r="324" spans="1:27" s="7" customFormat="1" ht="15.75" hidden="1" customHeight="1" x14ac:dyDescent="0.25">
      <c r="A324" s="7">
        <v>351</v>
      </c>
      <c r="B324" s="12" t="s">
        <v>190</v>
      </c>
      <c r="C324" s="33">
        <v>75866.63</v>
      </c>
      <c r="D324" s="35">
        <f t="shared" si="4"/>
        <v>2774</v>
      </c>
      <c r="E324" s="35"/>
      <c r="F324" s="35"/>
      <c r="G324" s="35"/>
      <c r="H324" s="35"/>
      <c r="I324" s="35"/>
      <c r="J324" s="35"/>
      <c r="K324" s="35">
        <v>2774</v>
      </c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6"/>
      <c r="X324" s="35"/>
      <c r="Y324" s="35"/>
      <c r="Z324" s="35"/>
      <c r="AA324" s="8"/>
    </row>
    <row r="325" spans="1:27" s="7" customFormat="1" ht="15.75" hidden="1" customHeight="1" x14ac:dyDescent="0.25">
      <c r="A325" s="7">
        <v>352</v>
      </c>
      <c r="B325" s="12" t="s">
        <v>191</v>
      </c>
      <c r="C325" s="33">
        <v>51662.400000000001</v>
      </c>
      <c r="D325" s="35">
        <f t="shared" si="4"/>
        <v>52455.28</v>
      </c>
      <c r="E325" s="35"/>
      <c r="F325" s="35"/>
      <c r="G325" s="35"/>
      <c r="H325" s="35"/>
      <c r="I325" s="35"/>
      <c r="J325" s="35"/>
      <c r="K325" s="35">
        <v>3851</v>
      </c>
      <c r="L325" s="35"/>
      <c r="M325" s="35"/>
      <c r="N325" s="35"/>
      <c r="O325" s="35"/>
      <c r="P325" s="35"/>
      <c r="Q325" s="35"/>
      <c r="R325" s="35"/>
      <c r="S325" s="35"/>
      <c r="T325" s="35"/>
      <c r="U325" s="35">
        <v>2066.35</v>
      </c>
      <c r="V325" s="35">
        <v>6457.04</v>
      </c>
      <c r="W325" s="36"/>
      <c r="X325" s="35"/>
      <c r="Y325" s="35">
        <v>40080.89</v>
      </c>
      <c r="Z325" s="35"/>
      <c r="AA325" s="8"/>
    </row>
    <row r="326" spans="1:27" s="7" customFormat="1" ht="15.75" hidden="1" customHeight="1" x14ac:dyDescent="0.25">
      <c r="A326" s="7">
        <v>353</v>
      </c>
      <c r="B326" s="12" t="s">
        <v>192</v>
      </c>
      <c r="C326" s="33">
        <v>88256.38</v>
      </c>
      <c r="D326" s="35">
        <f t="shared" si="4"/>
        <v>0</v>
      </c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6"/>
      <c r="X326" s="35"/>
      <c r="Y326" s="35"/>
      <c r="Z326" s="35"/>
      <c r="AA326" s="8"/>
    </row>
    <row r="327" spans="1:27" s="7" customFormat="1" ht="15.75" hidden="1" customHeight="1" x14ac:dyDescent="0.25">
      <c r="A327" s="7">
        <v>354</v>
      </c>
      <c r="B327" s="12" t="s">
        <v>193</v>
      </c>
      <c r="C327" s="33">
        <v>96977.91</v>
      </c>
      <c r="D327" s="35">
        <f t="shared" si="4"/>
        <v>62212.72</v>
      </c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>
        <v>214</v>
      </c>
      <c r="W327" s="36"/>
      <c r="X327" s="35"/>
      <c r="Y327" s="35">
        <v>61998.720000000001</v>
      </c>
      <c r="Z327" s="35"/>
      <c r="AA327" s="8"/>
    </row>
    <row r="328" spans="1:27" s="7" customFormat="1" ht="15.75" hidden="1" customHeight="1" x14ac:dyDescent="0.25">
      <c r="A328" s="7">
        <v>355</v>
      </c>
      <c r="B328" s="12" t="s">
        <v>194</v>
      </c>
      <c r="C328" s="33">
        <v>49218.42</v>
      </c>
      <c r="D328" s="35">
        <f t="shared" si="4"/>
        <v>0</v>
      </c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6"/>
      <c r="X328" s="35"/>
      <c r="Y328" s="35"/>
      <c r="Z328" s="35"/>
      <c r="AA328" s="8"/>
    </row>
    <row r="329" spans="1:27" s="7" customFormat="1" ht="15.75" hidden="1" x14ac:dyDescent="0.25">
      <c r="A329" s="7">
        <v>356</v>
      </c>
      <c r="B329" s="12" t="s">
        <v>195</v>
      </c>
      <c r="C329" s="33">
        <v>20181.52</v>
      </c>
      <c r="D329" s="35">
        <f t="shared" si="4"/>
        <v>20260.689999999999</v>
      </c>
      <c r="E329" s="35"/>
      <c r="F329" s="35"/>
      <c r="G329" s="35"/>
      <c r="H329" s="35"/>
      <c r="I329" s="35"/>
      <c r="J329" s="35"/>
      <c r="K329" s="35">
        <v>2185</v>
      </c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6"/>
      <c r="X329" s="35"/>
      <c r="Y329" s="35">
        <v>18075.689999999999</v>
      </c>
      <c r="Z329" s="35"/>
      <c r="AA329" s="8"/>
    </row>
    <row r="330" spans="1:27" s="7" customFormat="1" ht="15.75" hidden="1" customHeight="1" x14ac:dyDescent="0.25">
      <c r="A330" s="7">
        <v>357</v>
      </c>
      <c r="B330" s="12" t="s">
        <v>196</v>
      </c>
      <c r="C330" s="33">
        <v>76874.539999999994</v>
      </c>
      <c r="D330" s="35">
        <f t="shared" si="4"/>
        <v>6283.3540000000003</v>
      </c>
      <c r="E330" s="35"/>
      <c r="F330" s="35"/>
      <c r="G330" s="35"/>
      <c r="H330" s="35"/>
      <c r="I330" s="35"/>
      <c r="J330" s="35"/>
      <c r="K330" s="35">
        <v>1608.34</v>
      </c>
      <c r="L330" s="35"/>
      <c r="M330" s="35"/>
      <c r="N330" s="35"/>
      <c r="O330" s="35"/>
      <c r="P330" s="35">
        <v>4579.0140000000001</v>
      </c>
      <c r="Q330" s="35"/>
      <c r="R330" s="35"/>
      <c r="S330" s="35"/>
      <c r="T330" s="35"/>
      <c r="U330" s="35"/>
      <c r="V330" s="35">
        <v>96</v>
      </c>
      <c r="W330" s="36"/>
      <c r="X330" s="35"/>
      <c r="Y330" s="35"/>
      <c r="Z330" s="35"/>
      <c r="AA330" s="8"/>
    </row>
    <row r="331" spans="1:27" s="7" customFormat="1" ht="15.75" hidden="1" customHeight="1" x14ac:dyDescent="0.25">
      <c r="A331" s="7">
        <v>358</v>
      </c>
      <c r="B331" s="12" t="s">
        <v>197</v>
      </c>
      <c r="C331" s="33">
        <v>84029.66</v>
      </c>
      <c r="D331" s="35">
        <f t="shared" si="4"/>
        <v>55603.040000000001</v>
      </c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>
        <v>6528</v>
      </c>
      <c r="V331" s="35"/>
      <c r="W331" s="36"/>
      <c r="X331" s="35"/>
      <c r="Y331" s="35">
        <v>49075.040000000001</v>
      </c>
      <c r="Z331" s="35"/>
      <c r="AA331" s="8"/>
    </row>
    <row r="332" spans="1:27" s="7" customFormat="1" ht="15.75" hidden="1" customHeight="1" x14ac:dyDescent="0.25">
      <c r="A332" s="7">
        <v>359</v>
      </c>
      <c r="B332" s="12" t="s">
        <v>198</v>
      </c>
      <c r="C332" s="33">
        <v>20661.490000000002</v>
      </c>
      <c r="D332" s="35">
        <f t="shared" ref="D332:D383" si="5">E332+F332+H332+I332+J332+K332+L332+M332+O332+P332+Q332+R332+S332+T332+U332+V332+W332+X332+Y332+Z332+G332</f>
        <v>107</v>
      </c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>
        <v>107</v>
      </c>
      <c r="W332" s="36"/>
      <c r="X332" s="35"/>
      <c r="Y332" s="35"/>
      <c r="Z332" s="35"/>
      <c r="AA332" s="8"/>
    </row>
    <row r="333" spans="1:27" s="7" customFormat="1" ht="15.75" hidden="1" customHeight="1" x14ac:dyDescent="0.25">
      <c r="A333" s="7">
        <v>360</v>
      </c>
      <c r="B333" s="12" t="s">
        <v>199</v>
      </c>
      <c r="C333" s="33">
        <v>25852.69</v>
      </c>
      <c r="D333" s="35">
        <f t="shared" si="5"/>
        <v>1608</v>
      </c>
      <c r="E333" s="35"/>
      <c r="F333" s="35"/>
      <c r="G333" s="35"/>
      <c r="H333" s="35"/>
      <c r="I333" s="35"/>
      <c r="J333" s="35"/>
      <c r="K333" s="35"/>
      <c r="L333" s="35">
        <v>302</v>
      </c>
      <c r="M333" s="35"/>
      <c r="N333" s="35"/>
      <c r="O333" s="35"/>
      <c r="P333" s="35"/>
      <c r="Q333" s="35"/>
      <c r="R333" s="35">
        <v>960</v>
      </c>
      <c r="S333" s="35"/>
      <c r="T333" s="35">
        <v>346</v>
      </c>
      <c r="U333" s="35"/>
      <c r="V333" s="35"/>
      <c r="W333" s="36"/>
      <c r="X333" s="35"/>
      <c r="Y333" s="35"/>
      <c r="Z333" s="35"/>
      <c r="AA333" s="8"/>
    </row>
    <row r="334" spans="1:27" s="7" customFormat="1" ht="15.75" hidden="1" customHeight="1" x14ac:dyDescent="0.25">
      <c r="A334" s="7">
        <v>361</v>
      </c>
      <c r="B334" s="13" t="s">
        <v>200</v>
      </c>
      <c r="C334" s="43">
        <v>71090.759999999995</v>
      </c>
      <c r="D334" s="35">
        <f t="shared" si="5"/>
        <v>68385.040000000008</v>
      </c>
      <c r="E334" s="35"/>
      <c r="F334" s="35"/>
      <c r="G334" s="35"/>
      <c r="H334" s="35"/>
      <c r="I334" s="35"/>
      <c r="J334" s="35"/>
      <c r="K334" s="35">
        <v>3736.36</v>
      </c>
      <c r="L334" s="35"/>
      <c r="M334" s="35"/>
      <c r="N334" s="35"/>
      <c r="O334" s="35"/>
      <c r="P334" s="35"/>
      <c r="Q334" s="35"/>
      <c r="R334" s="35">
        <v>18684.099999999999</v>
      </c>
      <c r="S334" s="35"/>
      <c r="T334" s="35"/>
      <c r="U334" s="35"/>
      <c r="V334" s="35"/>
      <c r="W334" s="36">
        <v>1081</v>
      </c>
      <c r="X334" s="35"/>
      <c r="Y334" s="35">
        <v>44883.58</v>
      </c>
      <c r="Z334" s="35"/>
      <c r="AA334" s="8"/>
    </row>
    <row r="335" spans="1:27" s="7" customFormat="1" ht="15.75" hidden="1" customHeight="1" x14ac:dyDescent="0.25">
      <c r="A335" s="7">
        <v>362</v>
      </c>
      <c r="B335" s="12" t="s">
        <v>201</v>
      </c>
      <c r="C335" s="33">
        <v>74555.31</v>
      </c>
      <c r="D335" s="35">
        <f t="shared" si="5"/>
        <v>1425</v>
      </c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>
        <v>1425</v>
      </c>
      <c r="S335" s="35"/>
      <c r="T335" s="35"/>
      <c r="U335" s="35"/>
      <c r="V335" s="35"/>
      <c r="W335" s="36"/>
      <c r="X335" s="35"/>
      <c r="Y335" s="35"/>
      <c r="Z335" s="35"/>
      <c r="AA335" s="8"/>
    </row>
    <row r="336" spans="1:27" s="7" customFormat="1" ht="15.75" hidden="1" customHeight="1" x14ac:dyDescent="0.25">
      <c r="A336" s="7">
        <v>363</v>
      </c>
      <c r="B336" s="12" t="s">
        <v>202</v>
      </c>
      <c r="C336" s="33">
        <v>90779.9</v>
      </c>
      <c r="D336" s="35">
        <f t="shared" si="5"/>
        <v>74721.820000000007</v>
      </c>
      <c r="E336" s="35">
        <v>15697</v>
      </c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6">
        <v>5671</v>
      </c>
      <c r="X336" s="35"/>
      <c r="Y336" s="35">
        <v>53353.82</v>
      </c>
      <c r="Z336" s="35"/>
      <c r="AA336" s="8"/>
    </row>
    <row r="337" spans="1:27" s="7" customFormat="1" ht="15.75" hidden="1" customHeight="1" x14ac:dyDescent="0.25">
      <c r="A337" s="7">
        <v>364</v>
      </c>
      <c r="B337" s="12" t="s">
        <v>203</v>
      </c>
      <c r="C337" s="33">
        <v>86604.47</v>
      </c>
      <c r="D337" s="35">
        <f t="shared" si="5"/>
        <v>49098.23</v>
      </c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>
        <v>4040</v>
      </c>
      <c r="R337" s="35"/>
      <c r="S337" s="35"/>
      <c r="T337" s="35"/>
      <c r="U337" s="35"/>
      <c r="V337" s="35"/>
      <c r="W337" s="36"/>
      <c r="X337" s="35"/>
      <c r="Y337" s="35">
        <v>45058.23</v>
      </c>
      <c r="Z337" s="35"/>
      <c r="AA337" s="8"/>
    </row>
    <row r="338" spans="1:27" s="7" customFormat="1" ht="15.75" hidden="1" customHeight="1" x14ac:dyDescent="0.25">
      <c r="A338" s="7">
        <v>365</v>
      </c>
      <c r="B338" s="12" t="s">
        <v>204</v>
      </c>
      <c r="C338" s="33">
        <v>22803.43</v>
      </c>
      <c r="D338" s="35">
        <f t="shared" si="5"/>
        <v>73525.23</v>
      </c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6"/>
      <c r="X338" s="35"/>
      <c r="Y338" s="35">
        <v>73525.23</v>
      </c>
      <c r="Z338" s="35"/>
      <c r="AA338" s="8"/>
    </row>
    <row r="339" spans="1:27" s="7" customFormat="1" ht="15.75" hidden="1" customHeight="1" x14ac:dyDescent="0.25">
      <c r="A339" s="7">
        <v>366</v>
      </c>
      <c r="B339" s="12" t="s">
        <v>205</v>
      </c>
      <c r="C339" s="33">
        <v>71140.070000000007</v>
      </c>
      <c r="D339" s="35">
        <f t="shared" si="5"/>
        <v>0</v>
      </c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6"/>
      <c r="X339" s="35"/>
      <c r="Y339" s="35"/>
      <c r="Z339" s="35"/>
      <c r="AA339" s="8"/>
    </row>
    <row r="340" spans="1:27" s="7" customFormat="1" ht="15.75" hidden="1" customHeight="1" x14ac:dyDescent="0.25">
      <c r="A340" s="7">
        <v>367</v>
      </c>
      <c r="B340" s="12" t="s">
        <v>206</v>
      </c>
      <c r="C340" s="33">
        <v>45429.83</v>
      </c>
      <c r="D340" s="35">
        <f t="shared" si="5"/>
        <v>7886</v>
      </c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6"/>
      <c r="X340" s="35"/>
      <c r="Y340" s="35"/>
      <c r="Z340" s="35">
        <v>7886</v>
      </c>
      <c r="AA340" s="8"/>
    </row>
    <row r="341" spans="1:27" s="7" customFormat="1" ht="15.75" hidden="1" customHeight="1" x14ac:dyDescent="0.25">
      <c r="A341" s="7">
        <v>368</v>
      </c>
      <c r="B341" s="12" t="s">
        <v>207</v>
      </c>
      <c r="C341" s="33">
        <v>191443.71</v>
      </c>
      <c r="D341" s="35">
        <f t="shared" si="5"/>
        <v>5543.920000000001</v>
      </c>
      <c r="E341" s="35"/>
      <c r="F341" s="35"/>
      <c r="G341" s="35"/>
      <c r="H341" s="35">
        <f>278.256+688</f>
        <v>966.25599999999997</v>
      </c>
      <c r="I341" s="35"/>
      <c r="J341" s="35"/>
      <c r="K341" s="35"/>
      <c r="L341" s="35">
        <f>367+577.26</f>
        <v>944.26</v>
      </c>
      <c r="M341" s="35"/>
      <c r="N341" s="35"/>
      <c r="O341" s="35"/>
      <c r="P341" s="35"/>
      <c r="Q341" s="35"/>
      <c r="R341" s="35"/>
      <c r="S341" s="35"/>
      <c r="T341" s="35">
        <v>345.74</v>
      </c>
      <c r="U341" s="35">
        <f>579.899+2275</f>
        <v>2854.8989999999999</v>
      </c>
      <c r="V341" s="35"/>
      <c r="W341" s="36">
        <v>432.76499999999999</v>
      </c>
      <c r="X341" s="35"/>
      <c r="Y341" s="35"/>
      <c r="Z341" s="35"/>
      <c r="AA341" s="8"/>
    </row>
    <row r="342" spans="1:27" s="7" customFormat="1" ht="15.75" hidden="1" customHeight="1" x14ac:dyDescent="0.25">
      <c r="A342" s="7">
        <v>369</v>
      </c>
      <c r="B342" s="12" t="s">
        <v>208</v>
      </c>
      <c r="C342" s="33">
        <v>28133.89</v>
      </c>
      <c r="D342" s="35">
        <f t="shared" si="5"/>
        <v>1337.9078</v>
      </c>
      <c r="E342" s="35"/>
      <c r="F342" s="35"/>
      <c r="G342" s="35"/>
      <c r="H342" s="35">
        <v>278.25599999999997</v>
      </c>
      <c r="I342" s="35"/>
      <c r="J342" s="35"/>
      <c r="K342" s="35"/>
      <c r="L342" s="35"/>
      <c r="M342" s="35"/>
      <c r="N342" s="35"/>
      <c r="O342" s="35">
        <v>1059.6518000000001</v>
      </c>
      <c r="P342" s="35"/>
      <c r="Q342" s="35"/>
      <c r="R342" s="35"/>
      <c r="S342" s="35"/>
      <c r="T342" s="35"/>
      <c r="U342" s="35"/>
      <c r="V342" s="35"/>
      <c r="W342" s="36"/>
      <c r="X342" s="35"/>
      <c r="Y342" s="35"/>
      <c r="Z342" s="35"/>
      <c r="AA342" s="8"/>
    </row>
    <row r="343" spans="1:27" s="7" customFormat="1" ht="15.75" hidden="1" customHeight="1" x14ac:dyDescent="0.25">
      <c r="A343" s="7">
        <v>370</v>
      </c>
      <c r="B343" s="12" t="s">
        <v>209</v>
      </c>
      <c r="C343" s="33">
        <v>130174.04</v>
      </c>
      <c r="D343" s="35">
        <f t="shared" si="5"/>
        <v>83367.47</v>
      </c>
      <c r="E343" s="35"/>
      <c r="F343" s="35"/>
      <c r="G343" s="35"/>
      <c r="H343" s="35"/>
      <c r="I343" s="35"/>
      <c r="J343" s="35"/>
      <c r="K343" s="35">
        <v>3423.23</v>
      </c>
      <c r="L343" s="35"/>
      <c r="M343" s="35"/>
      <c r="N343" s="35"/>
      <c r="O343" s="35"/>
      <c r="P343" s="35"/>
      <c r="Q343" s="35"/>
      <c r="R343" s="35"/>
      <c r="S343" s="35"/>
      <c r="T343" s="35"/>
      <c r="U343" s="35">
        <v>1240</v>
      </c>
      <c r="V343" s="35"/>
      <c r="W343" s="36"/>
      <c r="X343" s="35"/>
      <c r="Y343" s="35">
        <v>70818.240000000005</v>
      </c>
      <c r="Z343" s="35">
        <v>7886</v>
      </c>
      <c r="AA343" s="8"/>
    </row>
    <row r="344" spans="1:27" s="7" customFormat="1" ht="15.75" hidden="1" customHeight="1" x14ac:dyDescent="0.25">
      <c r="A344" s="7">
        <v>371</v>
      </c>
      <c r="B344" s="12" t="s">
        <v>210</v>
      </c>
      <c r="C344" s="33">
        <v>61018.51</v>
      </c>
      <c r="D344" s="35">
        <f t="shared" si="5"/>
        <v>38457.870000000003</v>
      </c>
      <c r="E344" s="35"/>
      <c r="F344" s="35"/>
      <c r="G344" s="35"/>
      <c r="H344" s="35"/>
      <c r="I344" s="35"/>
      <c r="J344" s="35"/>
      <c r="K344" s="35">
        <v>3072.73</v>
      </c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>
        <v>107</v>
      </c>
      <c r="W344" s="36"/>
      <c r="X344" s="35"/>
      <c r="Y344" s="35">
        <v>35278.14</v>
      </c>
      <c r="Z344" s="35"/>
      <c r="AA344" s="8"/>
    </row>
    <row r="345" spans="1:27" s="7" customFormat="1" ht="15.75" hidden="1" customHeight="1" x14ac:dyDescent="0.25">
      <c r="A345" s="7">
        <v>372</v>
      </c>
      <c r="B345" s="12" t="s">
        <v>211</v>
      </c>
      <c r="C345" s="33">
        <v>66104.320000000007</v>
      </c>
      <c r="D345" s="35">
        <f t="shared" si="5"/>
        <v>0</v>
      </c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6"/>
      <c r="X345" s="35"/>
      <c r="Y345" s="35"/>
      <c r="Z345" s="35"/>
      <c r="AA345" s="8"/>
    </row>
    <row r="346" spans="1:27" s="7" customFormat="1" ht="15.75" hidden="1" customHeight="1" x14ac:dyDescent="0.25">
      <c r="A346" s="7">
        <v>373</v>
      </c>
      <c r="B346" s="12" t="s">
        <v>212</v>
      </c>
      <c r="C346" s="33">
        <v>89720.83</v>
      </c>
      <c r="D346" s="35">
        <f t="shared" si="5"/>
        <v>73172.78</v>
      </c>
      <c r="E346" s="35"/>
      <c r="F346" s="35"/>
      <c r="G346" s="35"/>
      <c r="H346" s="35"/>
      <c r="I346" s="35"/>
      <c r="J346" s="35"/>
      <c r="K346" s="35">
        <f>299.52+2119</f>
        <v>2418.52</v>
      </c>
      <c r="L346" s="35">
        <v>366.98</v>
      </c>
      <c r="M346" s="35">
        <v>6653</v>
      </c>
      <c r="N346" s="35"/>
      <c r="O346" s="35"/>
      <c r="P346" s="35"/>
      <c r="Q346" s="35"/>
      <c r="R346" s="35"/>
      <c r="S346" s="35"/>
      <c r="T346" s="35"/>
      <c r="U346" s="35">
        <f>496.5+4208</f>
        <v>4704.5</v>
      </c>
      <c r="V346" s="35"/>
      <c r="W346" s="36"/>
      <c r="X346" s="35"/>
      <c r="Y346" s="35">
        <v>59029.78</v>
      </c>
      <c r="Z346" s="35"/>
      <c r="AA346" s="8"/>
    </row>
    <row r="347" spans="1:27" s="7" customFormat="1" ht="15.75" hidden="1" customHeight="1" x14ac:dyDescent="0.25">
      <c r="A347" s="7">
        <v>374</v>
      </c>
      <c r="B347" s="12" t="s">
        <v>213</v>
      </c>
      <c r="C347" s="33">
        <v>55465.25</v>
      </c>
      <c r="D347" s="35">
        <f t="shared" si="5"/>
        <v>36554.490000000005</v>
      </c>
      <c r="E347" s="35"/>
      <c r="F347" s="35"/>
      <c r="G347" s="35"/>
      <c r="H347" s="35"/>
      <c r="I347" s="35"/>
      <c r="J347" s="35"/>
      <c r="K347" s="35"/>
      <c r="L347" s="35">
        <v>1552</v>
      </c>
      <c r="M347" s="35">
        <v>4789</v>
      </c>
      <c r="N347" s="35"/>
      <c r="O347" s="35"/>
      <c r="P347" s="35"/>
      <c r="Q347" s="35"/>
      <c r="R347" s="35"/>
      <c r="S347" s="35"/>
      <c r="T347" s="35"/>
      <c r="U347" s="35"/>
      <c r="V347" s="35"/>
      <c r="W347" s="36"/>
      <c r="X347" s="35"/>
      <c r="Y347" s="35">
        <v>30213.49</v>
      </c>
      <c r="Z347" s="35"/>
      <c r="AA347" s="8"/>
    </row>
    <row r="348" spans="1:27" s="7" customFormat="1" ht="15.75" hidden="1" customHeight="1" x14ac:dyDescent="0.25">
      <c r="A348" s="7">
        <v>375</v>
      </c>
      <c r="B348" s="12" t="s">
        <v>214</v>
      </c>
      <c r="C348" s="33">
        <v>108266.75</v>
      </c>
      <c r="D348" s="35">
        <f t="shared" si="5"/>
        <v>69652.899999999994</v>
      </c>
      <c r="E348" s="35"/>
      <c r="F348" s="35"/>
      <c r="G348" s="35"/>
      <c r="H348" s="35"/>
      <c r="I348" s="35"/>
      <c r="J348" s="35"/>
      <c r="K348" s="35"/>
      <c r="L348" s="35">
        <v>776</v>
      </c>
      <c r="M348" s="35"/>
      <c r="N348" s="35"/>
      <c r="O348" s="35"/>
      <c r="P348" s="35"/>
      <c r="Q348" s="35"/>
      <c r="R348" s="35"/>
      <c r="S348" s="35"/>
      <c r="T348" s="35"/>
      <c r="U348" s="35"/>
      <c r="V348" s="35">
        <v>591</v>
      </c>
      <c r="W348" s="36"/>
      <c r="X348" s="35"/>
      <c r="Y348" s="35">
        <v>68285.899999999994</v>
      </c>
      <c r="Z348" s="35"/>
      <c r="AA348" s="8"/>
    </row>
    <row r="349" spans="1:27" s="7" customFormat="1" ht="15.75" hidden="1" customHeight="1" x14ac:dyDescent="0.25">
      <c r="B349" s="12" t="s">
        <v>215</v>
      </c>
      <c r="C349" s="33">
        <v>46610.16</v>
      </c>
      <c r="D349" s="35">
        <f t="shared" si="5"/>
        <v>43195.479999999996</v>
      </c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>
        <v>26248.48</v>
      </c>
      <c r="S349" s="35"/>
      <c r="T349" s="35"/>
      <c r="U349" s="35">
        <v>16840</v>
      </c>
      <c r="V349" s="35">
        <v>107</v>
      </c>
      <c r="W349" s="36"/>
      <c r="X349" s="35"/>
      <c r="Y349" s="35"/>
      <c r="Z349" s="35"/>
      <c r="AA349" s="8"/>
    </row>
    <row r="350" spans="1:27" s="7" customFormat="1" ht="15.75" hidden="1" customHeight="1" x14ac:dyDescent="0.25">
      <c r="B350" s="12" t="s">
        <v>216</v>
      </c>
      <c r="C350" s="33">
        <v>113722.22</v>
      </c>
      <c r="D350" s="35">
        <f t="shared" si="5"/>
        <v>2567.4</v>
      </c>
      <c r="E350" s="35"/>
      <c r="F350" s="35"/>
      <c r="G350" s="35"/>
      <c r="H350" s="35"/>
      <c r="I350" s="35"/>
      <c r="J350" s="35"/>
      <c r="K350" s="35">
        <f>1820.4+747</f>
        <v>2567.4</v>
      </c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6"/>
      <c r="X350" s="35"/>
      <c r="Y350" s="35"/>
      <c r="Z350" s="35"/>
      <c r="AA350" s="8"/>
    </row>
    <row r="351" spans="1:27" s="7" customFormat="1" ht="15.75" hidden="1" customHeight="1" x14ac:dyDescent="0.25">
      <c r="B351" s="12" t="s">
        <v>217</v>
      </c>
      <c r="C351" s="33">
        <v>60457.57</v>
      </c>
      <c r="D351" s="35">
        <f t="shared" si="5"/>
        <v>45796.81</v>
      </c>
      <c r="E351" s="35"/>
      <c r="F351" s="35"/>
      <c r="G351" s="35"/>
      <c r="H351" s="35"/>
      <c r="I351" s="35"/>
      <c r="J351" s="35"/>
      <c r="K351" s="35"/>
      <c r="L351" s="35">
        <v>302</v>
      </c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6"/>
      <c r="X351" s="35"/>
      <c r="Y351" s="35">
        <v>45494.81</v>
      </c>
      <c r="Z351" s="35"/>
      <c r="AA351" s="8"/>
    </row>
    <row r="352" spans="1:27" s="7" customFormat="1" ht="15.75" hidden="1" customHeight="1" x14ac:dyDescent="0.25">
      <c r="B352" s="12" t="s">
        <v>218</v>
      </c>
      <c r="C352" s="33">
        <v>79711.56</v>
      </c>
      <c r="D352" s="35">
        <f t="shared" si="5"/>
        <v>776</v>
      </c>
      <c r="E352" s="35"/>
      <c r="F352" s="35"/>
      <c r="G352" s="35"/>
      <c r="H352" s="35"/>
      <c r="I352" s="35"/>
      <c r="J352" s="35"/>
      <c r="K352" s="35"/>
      <c r="L352" s="35">
        <v>776</v>
      </c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6"/>
      <c r="X352" s="35"/>
      <c r="Y352" s="35"/>
      <c r="Z352" s="35"/>
      <c r="AA352" s="8"/>
    </row>
    <row r="353" spans="2:27" s="7" customFormat="1" ht="15.75" hidden="1" customHeight="1" x14ac:dyDescent="0.25">
      <c r="B353" s="12" t="s">
        <v>219</v>
      </c>
      <c r="C353" s="33">
        <v>88754.02</v>
      </c>
      <c r="D353" s="35">
        <f t="shared" si="5"/>
        <v>69867.820000000007</v>
      </c>
      <c r="E353" s="35"/>
      <c r="F353" s="35"/>
      <c r="G353" s="35"/>
      <c r="H353" s="35"/>
      <c r="I353" s="35"/>
      <c r="J353" s="35"/>
      <c r="K353" s="35"/>
      <c r="L353" s="35"/>
      <c r="M353" s="35">
        <v>11100</v>
      </c>
      <c r="N353" s="35"/>
      <c r="O353" s="35"/>
      <c r="P353" s="35"/>
      <c r="Q353" s="35"/>
      <c r="R353" s="35"/>
      <c r="S353" s="35"/>
      <c r="T353" s="35"/>
      <c r="U353" s="35"/>
      <c r="V353" s="35"/>
      <c r="W353" s="36"/>
      <c r="X353" s="35"/>
      <c r="Y353" s="35">
        <v>58767.82</v>
      </c>
      <c r="Z353" s="35"/>
      <c r="AA353" s="8"/>
    </row>
    <row r="354" spans="2:27" s="7" customFormat="1" ht="15.75" hidden="1" customHeight="1" x14ac:dyDescent="0.25">
      <c r="B354" s="12" t="s">
        <v>220</v>
      </c>
      <c r="C354" s="33">
        <v>71600.53</v>
      </c>
      <c r="D354" s="35">
        <f t="shared" si="5"/>
        <v>0</v>
      </c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6"/>
      <c r="X354" s="35"/>
      <c r="Y354" s="35"/>
      <c r="Z354" s="35"/>
      <c r="AA354" s="8"/>
    </row>
    <row r="355" spans="2:27" s="7" customFormat="1" ht="15.75" hidden="1" customHeight="1" x14ac:dyDescent="0.25">
      <c r="B355" s="12" t="s">
        <v>221</v>
      </c>
      <c r="C355" s="33">
        <v>106132.16</v>
      </c>
      <c r="D355" s="35">
        <f t="shared" si="5"/>
        <v>3881.6600000000003</v>
      </c>
      <c r="E355" s="35"/>
      <c r="F355" s="35"/>
      <c r="G355" s="35"/>
      <c r="H355" s="35">
        <v>995</v>
      </c>
      <c r="I355" s="35"/>
      <c r="J355" s="35"/>
      <c r="K355" s="35">
        <v>1255.1400000000001</v>
      </c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>
        <v>766</v>
      </c>
      <c r="W355" s="36">
        <v>865.52</v>
      </c>
      <c r="X355" s="35"/>
      <c r="Y355" s="35"/>
      <c r="Z355" s="35"/>
      <c r="AA355" s="8"/>
    </row>
    <row r="356" spans="2:27" s="7" customFormat="1" ht="15.75" hidden="1" customHeight="1" x14ac:dyDescent="0.25">
      <c r="B356" s="12" t="s">
        <v>222</v>
      </c>
      <c r="C356" s="33">
        <v>87317.43</v>
      </c>
      <c r="D356" s="35">
        <f t="shared" si="5"/>
        <v>2630.77</v>
      </c>
      <c r="E356" s="35"/>
      <c r="F356" s="35"/>
      <c r="G356" s="35"/>
      <c r="H356" s="35"/>
      <c r="I356" s="35"/>
      <c r="J356" s="35"/>
      <c r="K356" s="35"/>
      <c r="L356" s="35">
        <v>776</v>
      </c>
      <c r="M356" s="35"/>
      <c r="N356" s="35"/>
      <c r="O356" s="35"/>
      <c r="P356" s="35"/>
      <c r="Q356" s="35"/>
      <c r="R356" s="35"/>
      <c r="S356" s="35"/>
      <c r="T356" s="35"/>
      <c r="U356" s="35">
        <v>1422</v>
      </c>
      <c r="V356" s="35"/>
      <c r="W356" s="36">
        <v>432.77</v>
      </c>
      <c r="X356" s="35"/>
      <c r="Y356" s="35"/>
      <c r="Z356" s="35"/>
      <c r="AA356" s="8"/>
    </row>
    <row r="357" spans="2:27" s="7" customFormat="1" ht="15.75" hidden="1" customHeight="1" x14ac:dyDescent="0.25">
      <c r="B357" s="12" t="s">
        <v>223</v>
      </c>
      <c r="C357" s="33">
        <v>42868.52</v>
      </c>
      <c r="D357" s="35">
        <f t="shared" si="5"/>
        <v>31700.93</v>
      </c>
      <c r="E357" s="35"/>
      <c r="F357" s="35"/>
      <c r="G357" s="35"/>
      <c r="H357" s="35"/>
      <c r="I357" s="35"/>
      <c r="J357" s="35"/>
      <c r="K357" s="35"/>
      <c r="L357" s="35"/>
      <c r="M357" s="35">
        <v>7600</v>
      </c>
      <c r="N357" s="35"/>
      <c r="O357" s="35"/>
      <c r="P357" s="35"/>
      <c r="Q357" s="35"/>
      <c r="R357" s="35"/>
      <c r="S357" s="35"/>
      <c r="T357" s="35"/>
      <c r="U357" s="35"/>
      <c r="V357" s="35"/>
      <c r="W357" s="36"/>
      <c r="X357" s="35"/>
      <c r="Y357" s="35">
        <v>24100.93</v>
      </c>
      <c r="Z357" s="35"/>
      <c r="AA357" s="8"/>
    </row>
    <row r="358" spans="2:27" s="7" customFormat="1" ht="15.75" hidden="1" customHeight="1" x14ac:dyDescent="0.25">
      <c r="B358" s="12" t="s">
        <v>224</v>
      </c>
      <c r="C358" s="33">
        <v>181993.52</v>
      </c>
      <c r="D358" s="35">
        <f t="shared" si="5"/>
        <v>608</v>
      </c>
      <c r="E358" s="35"/>
      <c r="F358" s="35"/>
      <c r="G358" s="35"/>
      <c r="H358" s="35"/>
      <c r="I358" s="35"/>
      <c r="J358" s="35"/>
      <c r="K358" s="35"/>
      <c r="L358" s="35">
        <v>608</v>
      </c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6"/>
      <c r="X358" s="35"/>
      <c r="Y358" s="35"/>
      <c r="Z358" s="35"/>
      <c r="AA358" s="8"/>
    </row>
    <row r="359" spans="2:27" s="7" customFormat="1" ht="15.75" hidden="1" customHeight="1" x14ac:dyDescent="0.25">
      <c r="B359" s="12" t="s">
        <v>225</v>
      </c>
      <c r="C359" s="33">
        <v>50746.91</v>
      </c>
      <c r="D359" s="35">
        <f t="shared" si="5"/>
        <v>15979.369999999999</v>
      </c>
      <c r="E359" s="35"/>
      <c r="F359" s="35"/>
      <c r="G359" s="35"/>
      <c r="H359" s="35"/>
      <c r="I359" s="35"/>
      <c r="J359" s="35"/>
      <c r="K359" s="35">
        <v>3801.37</v>
      </c>
      <c r="L359" s="35">
        <v>776</v>
      </c>
      <c r="M359" s="35">
        <v>11402</v>
      </c>
      <c r="N359" s="35"/>
      <c r="O359" s="35"/>
      <c r="P359" s="35"/>
      <c r="Q359" s="35"/>
      <c r="R359" s="35"/>
      <c r="S359" s="35"/>
      <c r="T359" s="35"/>
      <c r="U359" s="35"/>
      <c r="V359" s="35"/>
      <c r="W359" s="36"/>
      <c r="X359" s="35"/>
      <c r="Y359" s="35"/>
      <c r="Z359" s="35"/>
      <c r="AA359" s="8"/>
    </row>
    <row r="360" spans="2:27" s="7" customFormat="1" ht="15.75" hidden="1" customHeight="1" x14ac:dyDescent="0.25">
      <c r="B360" s="12" t="s">
        <v>226</v>
      </c>
      <c r="C360" s="33">
        <v>32584.639999999999</v>
      </c>
      <c r="D360" s="35">
        <f t="shared" si="5"/>
        <v>3327</v>
      </c>
      <c r="E360" s="35">
        <v>743</v>
      </c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>
        <v>2584</v>
      </c>
      <c r="S360" s="35"/>
      <c r="T360" s="35"/>
      <c r="U360" s="35"/>
      <c r="V360" s="35"/>
      <c r="W360" s="36"/>
      <c r="X360" s="35"/>
      <c r="Y360" s="35"/>
      <c r="Z360" s="35"/>
      <c r="AA360" s="8"/>
    </row>
    <row r="361" spans="2:27" s="7" customFormat="1" ht="15.75" hidden="1" customHeight="1" x14ac:dyDescent="0.25">
      <c r="B361" s="12" t="s">
        <v>227</v>
      </c>
      <c r="C361" s="33" t="s">
        <v>402</v>
      </c>
      <c r="D361" s="35">
        <f t="shared" si="5"/>
        <v>45931.45</v>
      </c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6"/>
      <c r="X361" s="35"/>
      <c r="Y361" s="35">
        <v>45931.45</v>
      </c>
      <c r="Z361" s="35"/>
      <c r="AA361" s="8"/>
    </row>
    <row r="362" spans="2:27" s="7" customFormat="1" ht="15.75" hidden="1" customHeight="1" x14ac:dyDescent="0.25">
      <c r="B362" s="12" t="s">
        <v>228</v>
      </c>
      <c r="C362" s="33">
        <v>188220.6</v>
      </c>
      <c r="D362" s="35">
        <f t="shared" si="5"/>
        <v>2685.92</v>
      </c>
      <c r="E362" s="35"/>
      <c r="F362" s="35"/>
      <c r="G362" s="35"/>
      <c r="H362" s="35"/>
      <c r="I362" s="35"/>
      <c r="J362" s="35"/>
      <c r="K362" s="35">
        <v>1820.4</v>
      </c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6">
        <v>865.52</v>
      </c>
      <c r="X362" s="35"/>
      <c r="Y362" s="35"/>
      <c r="Z362" s="35"/>
      <c r="AA362" s="8"/>
    </row>
    <row r="363" spans="2:27" s="7" customFormat="1" ht="15.75" hidden="1" customHeight="1" x14ac:dyDescent="0.25">
      <c r="B363" s="12" t="s">
        <v>229</v>
      </c>
      <c r="C363" s="33">
        <v>105685.92</v>
      </c>
      <c r="D363" s="35">
        <f t="shared" si="5"/>
        <v>42433.17</v>
      </c>
      <c r="E363" s="35"/>
      <c r="F363" s="35"/>
      <c r="G363" s="35"/>
      <c r="H363" s="35"/>
      <c r="I363" s="35"/>
      <c r="J363" s="35"/>
      <c r="K363" s="35">
        <f>7326.17+3797.24</f>
        <v>11123.41</v>
      </c>
      <c r="L363" s="35"/>
      <c r="M363" s="35">
        <v>31309.759999999998</v>
      </c>
      <c r="N363" s="35"/>
      <c r="O363" s="35"/>
      <c r="P363" s="35"/>
      <c r="Q363" s="35"/>
      <c r="R363" s="35"/>
      <c r="S363" s="35"/>
      <c r="T363" s="35"/>
      <c r="U363" s="35"/>
      <c r="V363" s="35"/>
      <c r="W363" s="36"/>
      <c r="X363" s="35"/>
      <c r="Y363" s="35"/>
      <c r="Z363" s="35"/>
      <c r="AA363" s="8"/>
    </row>
    <row r="364" spans="2:27" s="15" customFormat="1" ht="15.75" hidden="1" customHeight="1" x14ac:dyDescent="0.25">
      <c r="B364" s="13" t="s">
        <v>230</v>
      </c>
      <c r="C364" s="33">
        <v>341912.16</v>
      </c>
      <c r="D364" s="35">
        <f t="shared" si="5"/>
        <v>32052.31</v>
      </c>
      <c r="E364" s="35"/>
      <c r="F364" s="35"/>
      <c r="G364" s="35"/>
      <c r="H364" s="35"/>
      <c r="I364" s="35"/>
      <c r="J364" s="35"/>
      <c r="K364" s="35">
        <f>565.22+7682.98</f>
        <v>8248.1999999999989</v>
      </c>
      <c r="L364" s="35">
        <v>366.98</v>
      </c>
      <c r="M364" s="35"/>
      <c r="N364" s="35"/>
      <c r="O364" s="35"/>
      <c r="P364" s="35"/>
      <c r="Q364" s="35"/>
      <c r="R364" s="35">
        <v>22160.400000000001</v>
      </c>
      <c r="S364" s="35"/>
      <c r="T364" s="35"/>
      <c r="U364" s="35">
        <f>1057.73+219</f>
        <v>1276.73</v>
      </c>
      <c r="V364" s="35"/>
      <c r="W364" s="36"/>
      <c r="X364" s="35"/>
      <c r="Y364" s="35"/>
      <c r="Z364" s="35"/>
      <c r="AA364" s="14"/>
    </row>
    <row r="365" spans="2:27" s="7" customFormat="1" ht="15" hidden="1" customHeight="1" x14ac:dyDescent="0.25">
      <c r="B365" s="13" t="s">
        <v>231</v>
      </c>
      <c r="C365" s="33">
        <v>254544.6</v>
      </c>
      <c r="D365" s="35">
        <f t="shared" si="5"/>
        <v>17769.730000000003</v>
      </c>
      <c r="E365" s="35"/>
      <c r="F365" s="35"/>
      <c r="G365" s="35"/>
      <c r="H365" s="35"/>
      <c r="I365" s="35"/>
      <c r="J365" s="35"/>
      <c r="K365" s="35">
        <v>1839.54</v>
      </c>
      <c r="L365" s="35"/>
      <c r="M365" s="35"/>
      <c r="N365" s="35"/>
      <c r="O365" s="35"/>
      <c r="P365" s="35"/>
      <c r="Q365" s="35">
        <v>13467</v>
      </c>
      <c r="R365" s="35">
        <v>1136.47</v>
      </c>
      <c r="S365" s="35"/>
      <c r="T365" s="35">
        <v>1326.72</v>
      </c>
      <c r="U365" s="35"/>
      <c r="V365" s="35"/>
      <c r="W365" s="36"/>
      <c r="X365" s="35"/>
      <c r="Y365" s="35"/>
      <c r="Z365" s="35"/>
      <c r="AA365" s="8"/>
    </row>
    <row r="366" spans="2:27" s="7" customFormat="1" ht="15.75" hidden="1" customHeight="1" x14ac:dyDescent="0.25">
      <c r="B366" s="13" t="s">
        <v>232</v>
      </c>
      <c r="C366" s="33">
        <v>319558.68</v>
      </c>
      <c r="D366" s="35">
        <f t="shared" si="5"/>
        <v>44019.009999999995</v>
      </c>
      <c r="E366" s="35"/>
      <c r="F366" s="35"/>
      <c r="G366" s="35"/>
      <c r="H366" s="35"/>
      <c r="I366" s="35"/>
      <c r="J366" s="35"/>
      <c r="K366" s="35">
        <f>3130.2+1503</f>
        <v>4633.2</v>
      </c>
      <c r="L366" s="35"/>
      <c r="M366" s="35">
        <v>9335.6299999999992</v>
      </c>
      <c r="N366" s="35"/>
      <c r="O366" s="35"/>
      <c r="P366" s="35"/>
      <c r="Q366" s="35"/>
      <c r="R366" s="35">
        <v>23795.7</v>
      </c>
      <c r="S366" s="35"/>
      <c r="T366" s="35">
        <v>5877.48</v>
      </c>
      <c r="U366" s="35">
        <v>377</v>
      </c>
      <c r="V366" s="35"/>
      <c r="W366" s="36"/>
      <c r="X366" s="35"/>
      <c r="Y366" s="35"/>
      <c r="Z366" s="35"/>
      <c r="AA366" s="8"/>
    </row>
    <row r="367" spans="2:27" s="7" customFormat="1" ht="15.75" hidden="1" customHeight="1" x14ac:dyDescent="0.25">
      <c r="B367" s="13" t="s">
        <v>233</v>
      </c>
      <c r="C367" s="33">
        <v>249954.24</v>
      </c>
      <c r="D367" s="35">
        <f t="shared" si="5"/>
        <v>6050.75</v>
      </c>
      <c r="E367" s="35"/>
      <c r="F367" s="35"/>
      <c r="G367" s="35"/>
      <c r="H367" s="35"/>
      <c r="I367" s="35"/>
      <c r="J367" s="35"/>
      <c r="K367" s="35">
        <v>2797.27</v>
      </c>
      <c r="L367" s="35">
        <f>376.48+301</f>
        <v>677.48</v>
      </c>
      <c r="M367" s="35"/>
      <c r="N367" s="35"/>
      <c r="O367" s="35"/>
      <c r="P367" s="35"/>
      <c r="Q367" s="35"/>
      <c r="R367" s="35">
        <v>1884</v>
      </c>
      <c r="S367" s="35"/>
      <c r="T367" s="35">
        <v>692</v>
      </c>
      <c r="U367" s="35"/>
      <c r="V367" s="35"/>
      <c r="W367" s="36"/>
      <c r="X367" s="35"/>
      <c r="Y367" s="35"/>
      <c r="Z367" s="35"/>
      <c r="AA367" s="8"/>
    </row>
    <row r="368" spans="2:27" s="7" customFormat="1" ht="15.75" hidden="1" customHeight="1" x14ac:dyDescent="0.25">
      <c r="B368" s="13" t="s">
        <v>234</v>
      </c>
      <c r="C368" s="33">
        <v>88227.839999999997</v>
      </c>
      <c r="D368" s="35">
        <f t="shared" si="5"/>
        <v>0</v>
      </c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6"/>
      <c r="X368" s="35"/>
      <c r="Y368" s="35"/>
      <c r="Z368" s="35"/>
      <c r="AA368" s="8"/>
    </row>
    <row r="369" spans="2:27" s="7" customFormat="1" ht="15.75" hidden="1" customHeight="1" x14ac:dyDescent="0.25">
      <c r="B369" s="13" t="s">
        <v>235</v>
      </c>
      <c r="C369" s="33">
        <v>488217.24</v>
      </c>
      <c r="D369" s="35">
        <f t="shared" si="5"/>
        <v>66081.820000000007</v>
      </c>
      <c r="E369" s="35"/>
      <c r="F369" s="35"/>
      <c r="G369" s="35"/>
      <c r="H369" s="35"/>
      <c r="I369" s="35"/>
      <c r="J369" s="35"/>
      <c r="K369" s="35">
        <f>3357.82+17542.63</f>
        <v>20900.45</v>
      </c>
      <c r="L369" s="35">
        <v>22602.16</v>
      </c>
      <c r="M369" s="35">
        <v>1900.32</v>
      </c>
      <c r="N369" s="35"/>
      <c r="O369" s="35">
        <v>5055.12</v>
      </c>
      <c r="P369" s="35"/>
      <c r="Q369" s="35"/>
      <c r="R369" s="35">
        <v>9444.31</v>
      </c>
      <c r="S369" s="35"/>
      <c r="T369" s="35">
        <f>4796.5+1382.96</f>
        <v>6179.46</v>
      </c>
      <c r="U369" s="35"/>
      <c r="V369" s="35"/>
      <c r="W369" s="36"/>
      <c r="X369" s="35"/>
      <c r="Y369" s="35"/>
      <c r="Z369" s="35"/>
      <c r="AA369" s="8"/>
    </row>
    <row r="370" spans="2:27" s="7" customFormat="1" ht="15.75" hidden="1" customHeight="1" x14ac:dyDescent="0.25">
      <c r="B370" s="13" t="s">
        <v>236</v>
      </c>
      <c r="C370" s="33">
        <v>95098.8</v>
      </c>
      <c r="D370" s="35">
        <f t="shared" si="5"/>
        <v>23840.300000000003</v>
      </c>
      <c r="E370" s="35"/>
      <c r="F370" s="35"/>
      <c r="G370" s="35"/>
      <c r="H370" s="35">
        <f>9554.81+229</f>
        <v>9783.81</v>
      </c>
      <c r="I370" s="35"/>
      <c r="J370" s="35"/>
      <c r="K370" s="35">
        <v>6819.02</v>
      </c>
      <c r="L370" s="35">
        <v>366.98</v>
      </c>
      <c r="M370" s="35"/>
      <c r="N370" s="35"/>
      <c r="O370" s="35"/>
      <c r="P370" s="35">
        <v>5242</v>
      </c>
      <c r="Q370" s="35"/>
      <c r="R370" s="35">
        <v>1628.49</v>
      </c>
      <c r="S370" s="35"/>
      <c r="T370" s="35"/>
      <c r="U370" s="35"/>
      <c r="V370" s="35"/>
      <c r="W370" s="36"/>
      <c r="X370" s="35"/>
      <c r="Y370" s="35"/>
      <c r="Z370" s="35"/>
      <c r="AA370" s="8"/>
    </row>
    <row r="371" spans="2:27" s="7" customFormat="1" ht="15.75" hidden="1" customHeight="1" x14ac:dyDescent="0.25">
      <c r="B371" s="13" t="s">
        <v>237</v>
      </c>
      <c r="C371" s="33">
        <v>112527.24</v>
      </c>
      <c r="D371" s="35">
        <f t="shared" si="5"/>
        <v>22913.194000000003</v>
      </c>
      <c r="E371" s="35"/>
      <c r="F371" s="35"/>
      <c r="G371" s="35"/>
      <c r="H371" s="35">
        <v>9451.34</v>
      </c>
      <c r="I371" s="35"/>
      <c r="J371" s="35"/>
      <c r="K371" s="35">
        <f>1366.37+378.544+994</f>
        <v>2738.9139999999998</v>
      </c>
      <c r="L371" s="35"/>
      <c r="M371" s="35">
        <f>2733.31+1900.32</f>
        <v>4633.63</v>
      </c>
      <c r="N371" s="35"/>
      <c r="O371" s="35">
        <v>3361.68</v>
      </c>
      <c r="P371" s="35"/>
      <c r="Q371" s="35"/>
      <c r="R371" s="35"/>
      <c r="S371" s="35"/>
      <c r="T371" s="35"/>
      <c r="U371" s="35">
        <f>1633.63+1094</f>
        <v>2727.63</v>
      </c>
      <c r="V371" s="35"/>
      <c r="W371" s="36"/>
      <c r="X371" s="35"/>
      <c r="Y371" s="35"/>
      <c r="Z371" s="35"/>
      <c r="AA371" s="8"/>
    </row>
    <row r="372" spans="2:27" s="7" customFormat="1" ht="14.25" hidden="1" customHeight="1" x14ac:dyDescent="0.25">
      <c r="B372" s="13" t="s">
        <v>238</v>
      </c>
      <c r="C372" s="33">
        <v>186054.96</v>
      </c>
      <c r="D372" s="35">
        <f t="shared" si="5"/>
        <v>23074.630000000005</v>
      </c>
      <c r="E372" s="35"/>
      <c r="F372" s="35"/>
      <c r="G372" s="35"/>
      <c r="H372" s="35"/>
      <c r="I372" s="35"/>
      <c r="J372" s="35"/>
      <c r="K372" s="35">
        <v>1938</v>
      </c>
      <c r="L372" s="35">
        <f>734.22+5434.74</f>
        <v>6168.96</v>
      </c>
      <c r="M372" s="35"/>
      <c r="N372" s="35"/>
      <c r="O372" s="35">
        <v>1447.33</v>
      </c>
      <c r="P372" s="35"/>
      <c r="Q372" s="35"/>
      <c r="R372" s="35">
        <f>3639.7+4616.45</f>
        <v>8256.15</v>
      </c>
      <c r="S372" s="35"/>
      <c r="T372" s="35">
        <f>3693.71+691.48</f>
        <v>4385.1900000000005</v>
      </c>
      <c r="U372" s="35"/>
      <c r="V372" s="35"/>
      <c r="W372" s="36">
        <v>879</v>
      </c>
      <c r="X372" s="35"/>
      <c r="Y372" s="35"/>
      <c r="Z372" s="35"/>
      <c r="AA372" s="8"/>
    </row>
    <row r="373" spans="2:27" s="7" customFormat="1" ht="15.75" hidden="1" customHeight="1" x14ac:dyDescent="0.25">
      <c r="B373" s="13" t="s">
        <v>239</v>
      </c>
      <c r="C373" s="33">
        <v>90236.64</v>
      </c>
      <c r="D373" s="35">
        <f t="shared" si="5"/>
        <v>58477.372000000003</v>
      </c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>
        <v>4070.4</v>
      </c>
      <c r="U373" s="35">
        <v>495.91899999999998</v>
      </c>
      <c r="V373" s="35"/>
      <c r="W373" s="36">
        <v>1081.163</v>
      </c>
      <c r="X373" s="35"/>
      <c r="Y373" s="35">
        <v>52829.89</v>
      </c>
      <c r="Z373" s="35"/>
      <c r="AA373" s="8"/>
    </row>
    <row r="374" spans="2:27" s="7" customFormat="1" ht="15.75" hidden="1" customHeight="1" x14ac:dyDescent="0.25">
      <c r="B374" s="13" t="s">
        <v>240</v>
      </c>
      <c r="C374" s="33">
        <v>142760.64000000001</v>
      </c>
      <c r="D374" s="35">
        <f t="shared" si="5"/>
        <v>104029.85</v>
      </c>
      <c r="E374" s="35"/>
      <c r="F374" s="35"/>
      <c r="G374" s="35"/>
      <c r="H374" s="35"/>
      <c r="I374" s="35"/>
      <c r="J374" s="35"/>
      <c r="K374" s="35">
        <v>989.71</v>
      </c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6"/>
      <c r="X374" s="35"/>
      <c r="Y374" s="35">
        <v>103040.14</v>
      </c>
      <c r="Z374" s="35"/>
      <c r="AA374" s="8"/>
    </row>
    <row r="375" spans="2:27" s="7" customFormat="1" ht="15.75" hidden="1" customHeight="1" x14ac:dyDescent="0.25">
      <c r="B375" s="13" t="s">
        <v>241</v>
      </c>
      <c r="C375" s="33">
        <v>186883.8</v>
      </c>
      <c r="D375" s="35">
        <f t="shared" si="5"/>
        <v>125073.36899999999</v>
      </c>
      <c r="E375" s="35">
        <v>1433.48</v>
      </c>
      <c r="F375" s="35"/>
      <c r="G375" s="35"/>
      <c r="H375" s="35">
        <v>9451.34</v>
      </c>
      <c r="I375" s="35"/>
      <c r="J375" s="35"/>
      <c r="K375" s="35">
        <f>294.59+378.544</f>
        <v>673.13400000000001</v>
      </c>
      <c r="L375" s="35"/>
      <c r="M375" s="35">
        <v>2357.3200000000002</v>
      </c>
      <c r="N375" s="35"/>
      <c r="O375" s="35"/>
      <c r="P375" s="35"/>
      <c r="Q375" s="35"/>
      <c r="R375" s="35"/>
      <c r="S375" s="35"/>
      <c r="T375" s="35"/>
      <c r="U375" s="35"/>
      <c r="V375" s="35">
        <v>1287</v>
      </c>
      <c r="W375" s="36">
        <f>1636.61+843.995+2953.2</f>
        <v>5433.8050000000003</v>
      </c>
      <c r="X375" s="35"/>
      <c r="Y375" s="35">
        <v>104437.29</v>
      </c>
      <c r="Z375" s="35"/>
      <c r="AA375" s="8"/>
    </row>
    <row r="376" spans="2:27" s="7" customFormat="1" ht="15.75" hidden="1" customHeight="1" x14ac:dyDescent="0.25">
      <c r="B376" s="13" t="s">
        <v>242</v>
      </c>
      <c r="C376" s="33">
        <v>453780.47999999998</v>
      </c>
      <c r="D376" s="35">
        <f t="shared" si="5"/>
        <v>403769.859</v>
      </c>
      <c r="E376" s="35"/>
      <c r="F376" s="35"/>
      <c r="G376" s="35"/>
      <c r="H376" s="35"/>
      <c r="I376" s="35"/>
      <c r="J376" s="35"/>
      <c r="K376" s="35"/>
      <c r="L376" s="35">
        <v>376.47899999999998</v>
      </c>
      <c r="M376" s="35">
        <v>69014.17</v>
      </c>
      <c r="N376" s="35"/>
      <c r="O376" s="35"/>
      <c r="P376" s="35"/>
      <c r="Q376" s="35"/>
      <c r="R376" s="35">
        <v>477</v>
      </c>
      <c r="S376" s="35">
        <v>3999.16</v>
      </c>
      <c r="T376" s="35"/>
      <c r="U376" s="35"/>
      <c r="V376" s="35"/>
      <c r="W376" s="36"/>
      <c r="X376" s="35"/>
      <c r="Y376" s="35">
        <v>329903.05</v>
      </c>
      <c r="Z376" s="35"/>
      <c r="AA376" s="8"/>
    </row>
    <row r="377" spans="2:27" s="7" customFormat="1" ht="15.75" hidden="1" customHeight="1" x14ac:dyDescent="0.25">
      <c r="B377" s="13" t="s">
        <v>243</v>
      </c>
      <c r="C377" s="33">
        <v>685102.8</v>
      </c>
      <c r="D377" s="35">
        <f t="shared" si="5"/>
        <v>35735.919999999998</v>
      </c>
      <c r="E377" s="35"/>
      <c r="F377" s="35"/>
      <c r="G377" s="35"/>
      <c r="H377" s="35"/>
      <c r="I377" s="35"/>
      <c r="J377" s="35"/>
      <c r="K377" s="35">
        <f>11778+7484.22</f>
        <v>19262.22</v>
      </c>
      <c r="L377" s="35">
        <f>9885.64+776</f>
        <v>10661.64</v>
      </c>
      <c r="M377" s="35"/>
      <c r="N377" s="35"/>
      <c r="O377" s="35"/>
      <c r="P377" s="35"/>
      <c r="Q377" s="35"/>
      <c r="R377" s="35">
        <v>2372.94</v>
      </c>
      <c r="S377" s="35"/>
      <c r="T377" s="35">
        <v>345.74</v>
      </c>
      <c r="U377" s="35">
        <v>2545.02</v>
      </c>
      <c r="V377" s="35">
        <v>548.36</v>
      </c>
      <c r="W377" s="36"/>
      <c r="X377" s="35"/>
      <c r="Y377" s="35"/>
      <c r="Z377" s="35"/>
      <c r="AA377" s="8"/>
    </row>
    <row r="378" spans="2:27" s="7" customFormat="1" ht="15.75" hidden="1" customHeight="1" x14ac:dyDescent="0.25">
      <c r="B378" s="13" t="s">
        <v>244</v>
      </c>
      <c r="C378" s="33">
        <v>161373</v>
      </c>
      <c r="D378" s="35">
        <f t="shared" si="5"/>
        <v>16505.781999999999</v>
      </c>
      <c r="E378" s="35"/>
      <c r="F378" s="35"/>
      <c r="G378" s="35"/>
      <c r="H378" s="35"/>
      <c r="I378" s="35"/>
      <c r="J378" s="35"/>
      <c r="K378" s="35">
        <v>901.33100000000002</v>
      </c>
      <c r="L378" s="35"/>
      <c r="M378" s="35"/>
      <c r="N378" s="35"/>
      <c r="O378" s="35"/>
      <c r="P378" s="35"/>
      <c r="Q378" s="35"/>
      <c r="R378" s="35">
        <v>1966</v>
      </c>
      <c r="S378" s="35"/>
      <c r="T378" s="35"/>
      <c r="U378" s="35">
        <f>6091.75+3658</f>
        <v>9749.75</v>
      </c>
      <c r="V378" s="35">
        <v>112.253</v>
      </c>
      <c r="W378" s="36">
        <v>3776.4479999999999</v>
      </c>
      <c r="X378" s="35"/>
      <c r="Y378" s="35"/>
      <c r="Z378" s="35"/>
      <c r="AA378" s="8"/>
    </row>
    <row r="379" spans="2:27" s="7" customFormat="1" ht="15.75" hidden="1" customHeight="1" x14ac:dyDescent="0.25">
      <c r="B379" s="12" t="s">
        <v>245</v>
      </c>
      <c r="C379" s="33">
        <v>107831.88</v>
      </c>
      <c r="D379" s="35">
        <f t="shared" si="5"/>
        <v>445874.00900000002</v>
      </c>
      <c r="E379" s="35"/>
      <c r="F379" s="35"/>
      <c r="G379" s="35">
        <v>390143</v>
      </c>
      <c r="H379" s="35"/>
      <c r="I379" s="35"/>
      <c r="J379" s="35"/>
      <c r="K379" s="35">
        <v>1130.51</v>
      </c>
      <c r="L379" s="35"/>
      <c r="M379" s="35"/>
      <c r="N379" s="35"/>
      <c r="O379" s="35">
        <v>1246.6790000000001</v>
      </c>
      <c r="P379" s="35"/>
      <c r="Q379" s="35"/>
      <c r="R379" s="35"/>
      <c r="S379" s="35"/>
      <c r="T379" s="35"/>
      <c r="U379" s="35"/>
      <c r="V379" s="35"/>
      <c r="W379" s="36"/>
      <c r="X379" s="35"/>
      <c r="Y379" s="35">
        <v>53353.82</v>
      </c>
      <c r="Z379" s="35"/>
      <c r="AA379" s="8"/>
    </row>
    <row r="380" spans="2:27" s="7" customFormat="1" ht="15.75" hidden="1" customHeight="1" x14ac:dyDescent="0.25">
      <c r="B380" s="13" t="s">
        <v>246</v>
      </c>
      <c r="C380" s="33">
        <v>169793.88</v>
      </c>
      <c r="D380" s="35">
        <f t="shared" si="5"/>
        <v>1526.92</v>
      </c>
      <c r="E380" s="35"/>
      <c r="F380" s="35"/>
      <c r="G380" s="35"/>
      <c r="H380" s="35"/>
      <c r="I380" s="35"/>
      <c r="J380" s="35"/>
      <c r="K380" s="35">
        <v>1159.94</v>
      </c>
      <c r="L380" s="35">
        <v>366.98</v>
      </c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6"/>
      <c r="X380" s="35"/>
      <c r="Y380" s="35"/>
      <c r="Z380" s="35"/>
      <c r="AA380" s="8"/>
    </row>
    <row r="381" spans="2:27" s="7" customFormat="1" ht="15.75" hidden="1" customHeight="1" x14ac:dyDescent="0.25">
      <c r="B381" s="13" t="s">
        <v>247</v>
      </c>
      <c r="C381" s="33">
        <v>464815.32</v>
      </c>
      <c r="D381" s="35">
        <f t="shared" si="5"/>
        <v>438990.4585999999</v>
      </c>
      <c r="E381" s="35">
        <v>165988.29999999999</v>
      </c>
      <c r="F381" s="35"/>
      <c r="G381" s="35"/>
      <c r="H381" s="35">
        <f>16207.05+181097</f>
        <v>197304.05</v>
      </c>
      <c r="I381" s="35"/>
      <c r="J381" s="35"/>
      <c r="K381" s="35">
        <f>3417.33+5499.76+549.05</f>
        <v>9466.14</v>
      </c>
      <c r="L381" s="35">
        <v>592.87</v>
      </c>
      <c r="M381" s="35">
        <v>1767.99</v>
      </c>
      <c r="N381" s="35"/>
      <c r="O381" s="35">
        <f>643.3006+620.28</f>
        <v>1263.5806</v>
      </c>
      <c r="P381" s="35"/>
      <c r="Q381" s="35">
        <v>582.91999999999996</v>
      </c>
      <c r="R381" s="35">
        <v>13261.67</v>
      </c>
      <c r="S381" s="35"/>
      <c r="T381" s="35">
        <f>1173.47+691.48</f>
        <v>1864.95</v>
      </c>
      <c r="U381" s="35">
        <v>2319.62</v>
      </c>
      <c r="V381" s="35">
        <f>9138.22+1100.94</f>
        <v>10239.16</v>
      </c>
      <c r="W381" s="36">
        <v>3776.4479999999999</v>
      </c>
      <c r="X381" s="35"/>
      <c r="Y381" s="35">
        <v>30562.76</v>
      </c>
      <c r="Z381" s="35"/>
      <c r="AA381" s="8"/>
    </row>
    <row r="382" spans="2:27" s="7" customFormat="1" ht="21" hidden="1" customHeight="1" x14ac:dyDescent="0.25">
      <c r="B382" s="13" t="s">
        <v>248</v>
      </c>
      <c r="C382" s="33">
        <v>800195.76</v>
      </c>
      <c r="D382" s="35">
        <f t="shared" si="5"/>
        <v>380358.57999999996</v>
      </c>
      <c r="E382" s="35">
        <v>12105.29</v>
      </c>
      <c r="F382" s="35"/>
      <c r="G382" s="35"/>
      <c r="H382" s="35"/>
      <c r="I382" s="35"/>
      <c r="J382" s="35"/>
      <c r="K382" s="35">
        <f>2613.74+2339.94</f>
        <v>4953.68</v>
      </c>
      <c r="L382" s="35">
        <v>776</v>
      </c>
      <c r="M382" s="35"/>
      <c r="N382" s="35"/>
      <c r="O382" s="35">
        <v>704.57799999999997</v>
      </c>
      <c r="P382" s="35">
        <v>20275.400000000001</v>
      </c>
      <c r="Q382" s="35"/>
      <c r="R382" s="35">
        <f>14739.91+2977.14</f>
        <v>17717.05</v>
      </c>
      <c r="S382" s="35"/>
      <c r="T382" s="35">
        <v>625</v>
      </c>
      <c r="U382" s="35"/>
      <c r="V382" s="35"/>
      <c r="W382" s="36">
        <f>2217.491+1207.801</f>
        <v>3425.2919999999999</v>
      </c>
      <c r="X382" s="35"/>
      <c r="Y382" s="35">
        <v>315833.28999999998</v>
      </c>
      <c r="Z382" s="35">
        <v>3943</v>
      </c>
      <c r="AA382" s="8"/>
    </row>
    <row r="383" spans="2:27" s="7" customFormat="1" ht="15.75" hidden="1" customHeight="1" x14ac:dyDescent="0.25">
      <c r="B383" s="13" t="s">
        <v>249</v>
      </c>
      <c r="C383" s="33">
        <v>84939.12</v>
      </c>
      <c r="D383" s="35">
        <f t="shared" si="5"/>
        <v>12205.72</v>
      </c>
      <c r="E383" s="35">
        <v>12205.72</v>
      </c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6"/>
      <c r="X383" s="35"/>
      <c r="Y383" s="35"/>
      <c r="Z383" s="35"/>
      <c r="AA383" s="8"/>
    </row>
    <row r="384" spans="2:27" s="7" customFormat="1" ht="15" x14ac:dyDescent="0.25"/>
  </sheetData>
  <autoFilter ref="B12:X383">
    <filterColumn colId="0">
      <filters>
        <filter val="Б.Пушкарская ул.д.34"/>
      </filters>
    </filterColumn>
  </autoFilter>
  <mergeCells count="2">
    <mergeCell ref="D11:Z11"/>
    <mergeCell ref="B11:B12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55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89"/>
  <sheetViews>
    <sheetView topLeftCell="A9" workbookViewId="0">
      <selection activeCell="E6" sqref="E6"/>
    </sheetView>
  </sheetViews>
  <sheetFormatPr defaultRowHeight="14.5" x14ac:dyDescent="0.35"/>
  <cols>
    <col min="1" max="1" width="28.453125" customWidth="1"/>
    <col min="2" max="2" width="19.7265625" customWidth="1"/>
    <col min="3" max="3" width="19" customWidth="1"/>
    <col min="7" max="7" width="9.1796875" style="7"/>
  </cols>
  <sheetData>
    <row r="1" spans="1:25" ht="15" x14ac:dyDescent="0.25">
      <c r="F1" s="9"/>
    </row>
    <row r="2" spans="1:25" ht="15" x14ac:dyDescent="0.25">
      <c r="F2" s="9"/>
    </row>
    <row r="3" spans="1:25" ht="15.5" x14ac:dyDescent="0.35">
      <c r="F3" s="9"/>
      <c r="U3" s="24"/>
      <c r="V3" s="24"/>
      <c r="W3" s="24"/>
      <c r="X3" s="25"/>
      <c r="Y3" s="26" t="s">
        <v>397</v>
      </c>
    </row>
    <row r="4" spans="1:25" ht="15.5" x14ac:dyDescent="0.35">
      <c r="F4" s="9"/>
      <c r="U4" s="24"/>
      <c r="V4" s="24"/>
      <c r="W4" s="24"/>
      <c r="X4" s="25"/>
      <c r="Y4" s="27" t="s">
        <v>398</v>
      </c>
    </row>
    <row r="5" spans="1:25" ht="15.5" x14ac:dyDescent="0.35">
      <c r="F5" s="9"/>
      <c r="U5" s="24"/>
      <c r="V5" s="24"/>
      <c r="W5" s="24"/>
      <c r="X5" s="25"/>
      <c r="Y5" s="27" t="s">
        <v>399</v>
      </c>
    </row>
    <row r="6" spans="1:25" ht="21" x14ac:dyDescent="0.5">
      <c r="F6" s="9"/>
      <c r="U6" s="28"/>
      <c r="V6" s="28"/>
      <c r="W6" s="28"/>
      <c r="X6" s="29"/>
      <c r="Y6" s="27" t="s">
        <v>400</v>
      </c>
    </row>
    <row r="7" spans="1:25" ht="15" x14ac:dyDescent="0.25">
      <c r="F7" s="9"/>
    </row>
    <row r="8" spans="1:25" ht="15" x14ac:dyDescent="0.25">
      <c r="F8" s="9"/>
    </row>
    <row r="9" spans="1:25" ht="33.75" customHeight="1" x14ac:dyDescent="0.45">
      <c r="A9" s="70" t="s">
        <v>403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</row>
    <row r="10" spans="1:25" ht="15" x14ac:dyDescent="0.25">
      <c r="F10" s="9"/>
    </row>
    <row r="11" spans="1:25" x14ac:dyDescent="0.35">
      <c r="A11" s="48"/>
      <c r="B11" s="30"/>
      <c r="C11" s="60"/>
      <c r="D11" s="58" t="s">
        <v>149</v>
      </c>
      <c r="E11" s="58"/>
      <c r="F11" s="58"/>
      <c r="G11" s="63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9"/>
    </row>
    <row r="12" spans="1:25" ht="117" x14ac:dyDescent="0.35">
      <c r="A12" s="49" t="s">
        <v>0</v>
      </c>
      <c r="B12" s="31" t="s">
        <v>401</v>
      </c>
      <c r="C12" s="2" t="s">
        <v>395</v>
      </c>
      <c r="D12" s="3" t="s">
        <v>167</v>
      </c>
      <c r="E12" s="3" t="s">
        <v>166</v>
      </c>
      <c r="F12" s="16" t="s">
        <v>392</v>
      </c>
      <c r="G12" s="4" t="s">
        <v>168</v>
      </c>
      <c r="H12" s="4" t="s">
        <v>169</v>
      </c>
      <c r="I12" s="4" t="s">
        <v>170</v>
      </c>
      <c r="J12" s="4" t="s">
        <v>185</v>
      </c>
      <c r="K12" s="4" t="s">
        <v>171</v>
      </c>
      <c r="L12" s="5" t="s">
        <v>172</v>
      </c>
      <c r="M12" s="5" t="s">
        <v>391</v>
      </c>
      <c r="N12" s="5" t="s">
        <v>184</v>
      </c>
      <c r="O12" s="5" t="s">
        <v>183</v>
      </c>
      <c r="P12" s="5" t="s">
        <v>182</v>
      </c>
      <c r="Q12" s="5" t="s">
        <v>181</v>
      </c>
      <c r="R12" s="5" t="s">
        <v>180</v>
      </c>
      <c r="S12" s="5" t="s">
        <v>179</v>
      </c>
      <c r="T12" s="5" t="s">
        <v>178</v>
      </c>
      <c r="U12" s="5" t="s">
        <v>177</v>
      </c>
      <c r="V12" s="5" t="s">
        <v>176</v>
      </c>
      <c r="W12" s="6" t="s">
        <v>404</v>
      </c>
      <c r="X12" s="1" t="s">
        <v>174</v>
      </c>
      <c r="Y12" s="1" t="s">
        <v>173</v>
      </c>
    </row>
    <row r="13" spans="1:25" ht="15.75" customHeight="1" x14ac:dyDescent="0.25">
      <c r="A13" s="17" t="s">
        <v>250</v>
      </c>
      <c r="B13" s="32">
        <v>554250.23999999999</v>
      </c>
      <c r="C13" s="35">
        <f>D13+E13+G13+H13+I13+J13+K13+L13+N13+O13+P13+Q13+R13+S13+T13+U13+V13+W13+X13+Y13+F13</f>
        <v>57939.928999999996</v>
      </c>
      <c r="D13" s="35"/>
      <c r="E13" s="35"/>
      <c r="F13" s="35"/>
      <c r="G13" s="35">
        <v>872.34</v>
      </c>
      <c r="H13" s="35"/>
      <c r="I13" s="35"/>
      <c r="J13" s="35">
        <f>6453.27+865.55+6677</f>
        <v>13995.82</v>
      </c>
      <c r="K13" s="35">
        <v>376.47899999999998</v>
      </c>
      <c r="L13" s="35"/>
      <c r="M13" s="35"/>
      <c r="N13" s="35"/>
      <c r="O13" s="35"/>
      <c r="P13" s="35"/>
      <c r="Q13" s="35">
        <f>22084.99+4258.95</f>
        <v>26343.940000000002</v>
      </c>
      <c r="R13" s="35">
        <v>4353.5</v>
      </c>
      <c r="S13" s="35"/>
      <c r="T13" s="35"/>
      <c r="U13" s="35">
        <f>1527.07+629.28+2036.1</f>
        <v>4192.45</v>
      </c>
      <c r="V13" s="36">
        <f>1931.2+1931.2</f>
        <v>3862.4</v>
      </c>
      <c r="W13" s="35"/>
      <c r="X13" s="35"/>
      <c r="Y13" s="35">
        <v>3943</v>
      </c>
    </row>
    <row r="14" spans="1:25" ht="15.75" customHeight="1" x14ac:dyDescent="0.25">
      <c r="A14" s="12" t="s">
        <v>4</v>
      </c>
      <c r="B14" s="33">
        <v>348305.47</v>
      </c>
      <c r="C14" s="35">
        <f t="shared" ref="C14:C78" si="0">D14+E14+G14+H14+I14+J14+K14+L14+N14+O14+P14+Q14+R14+S14+T14+U14+V14+W14+X14+Y14+F14</f>
        <v>189061.46</v>
      </c>
      <c r="D14" s="35"/>
      <c r="E14" s="35"/>
      <c r="F14" s="35"/>
      <c r="G14" s="35"/>
      <c r="H14" s="35"/>
      <c r="I14" s="35"/>
      <c r="J14" s="35">
        <v>2658.35</v>
      </c>
      <c r="K14" s="35"/>
      <c r="L14" s="35"/>
      <c r="M14" s="35"/>
      <c r="N14" s="35"/>
      <c r="O14" s="35"/>
      <c r="P14" s="35"/>
      <c r="Q14" s="35">
        <v>3735</v>
      </c>
      <c r="R14" s="35"/>
      <c r="S14" s="35">
        <v>346</v>
      </c>
      <c r="T14" s="35"/>
      <c r="U14" s="35"/>
      <c r="V14" s="36">
        <v>865.52</v>
      </c>
      <c r="W14" s="35"/>
      <c r="X14" s="35">
        <v>181456.59</v>
      </c>
      <c r="Y14" s="35"/>
    </row>
    <row r="15" spans="1:25" s="7" customFormat="1" ht="15.75" customHeight="1" x14ac:dyDescent="0.25">
      <c r="A15" s="12" t="s">
        <v>251</v>
      </c>
      <c r="B15" s="33">
        <v>61793.31</v>
      </c>
      <c r="C15" s="35">
        <f t="shared" si="0"/>
        <v>69640.34</v>
      </c>
      <c r="D15" s="35"/>
      <c r="E15" s="35"/>
      <c r="F15" s="35"/>
      <c r="G15" s="35"/>
      <c r="H15" s="35"/>
      <c r="I15" s="35"/>
      <c r="J15" s="35">
        <v>4874</v>
      </c>
      <c r="K15" s="35"/>
      <c r="L15" s="35"/>
      <c r="M15" s="35"/>
      <c r="N15" s="35"/>
      <c r="O15" s="35"/>
      <c r="P15" s="35"/>
      <c r="Q15" s="35"/>
      <c r="R15" s="35"/>
      <c r="S15" s="35">
        <v>689.7</v>
      </c>
      <c r="T15" s="35">
        <f>2652.83+4238.44</f>
        <v>6891.2699999999995</v>
      </c>
      <c r="U15" s="35">
        <v>1319.66</v>
      </c>
      <c r="V15" s="36">
        <v>865.52</v>
      </c>
      <c r="W15" s="35"/>
      <c r="X15" s="35">
        <v>55000.19</v>
      </c>
      <c r="Y15" s="35"/>
    </row>
    <row r="16" spans="1:25" s="56" customFormat="1" ht="15.75" customHeight="1" x14ac:dyDescent="0.25">
      <c r="A16" s="13" t="s">
        <v>252</v>
      </c>
      <c r="B16" s="33">
        <v>168564</v>
      </c>
      <c r="C16" s="35">
        <f t="shared" si="0"/>
        <v>3824.95</v>
      </c>
      <c r="D16" s="35"/>
      <c r="E16" s="35"/>
      <c r="F16" s="35"/>
      <c r="G16" s="35"/>
      <c r="H16" s="35"/>
      <c r="I16" s="35"/>
      <c r="J16" s="35"/>
      <c r="K16" s="35">
        <v>752.95</v>
      </c>
      <c r="L16" s="35"/>
      <c r="M16" s="35"/>
      <c r="N16" s="35"/>
      <c r="O16" s="35"/>
      <c r="P16" s="35"/>
      <c r="Q16" s="35">
        <v>2547</v>
      </c>
      <c r="R16" s="35"/>
      <c r="S16" s="35">
        <v>525</v>
      </c>
      <c r="T16" s="35"/>
      <c r="U16" s="35"/>
      <c r="V16" s="36"/>
      <c r="W16" s="35"/>
      <c r="X16" s="35"/>
      <c r="Y16" s="35"/>
    </row>
    <row r="17" spans="1:25" s="7" customFormat="1" ht="15.75" customHeight="1" x14ac:dyDescent="0.25">
      <c r="A17" s="12" t="s">
        <v>164</v>
      </c>
      <c r="B17" s="33">
        <v>23097.119999999999</v>
      </c>
      <c r="C17" s="35">
        <f t="shared" si="0"/>
        <v>102866.07</v>
      </c>
      <c r="D17" s="35"/>
      <c r="E17" s="35"/>
      <c r="F17" s="35"/>
      <c r="G17" s="35">
        <f>78521.25+7540.8+845</f>
        <v>86907.05</v>
      </c>
      <c r="H17" s="35"/>
      <c r="I17" s="35"/>
      <c r="J17" s="35">
        <v>4506</v>
      </c>
      <c r="K17" s="35"/>
      <c r="L17" s="35"/>
      <c r="M17" s="35"/>
      <c r="N17" s="35">
        <v>4864</v>
      </c>
      <c r="O17" s="35"/>
      <c r="P17" s="35"/>
      <c r="Q17" s="35"/>
      <c r="R17" s="35"/>
      <c r="S17" s="35"/>
      <c r="T17" s="35">
        <v>1936.76</v>
      </c>
      <c r="U17" s="35">
        <v>2480.4899999999998</v>
      </c>
      <c r="V17" s="36">
        <f>432.77+1739</f>
        <v>2171.77</v>
      </c>
      <c r="W17" s="35"/>
      <c r="X17" s="35"/>
      <c r="Y17" s="35"/>
    </row>
    <row r="18" spans="1:25" s="7" customFormat="1" ht="15.75" customHeight="1" x14ac:dyDescent="0.25">
      <c r="A18" s="13" t="s">
        <v>165</v>
      </c>
      <c r="B18" s="33">
        <v>349344.84</v>
      </c>
      <c r="C18" s="35">
        <f t="shared" si="0"/>
        <v>10754.999</v>
      </c>
      <c r="D18" s="35"/>
      <c r="E18" s="35"/>
      <c r="F18" s="35"/>
      <c r="G18" s="35">
        <v>654.26</v>
      </c>
      <c r="H18" s="35"/>
      <c r="I18" s="35"/>
      <c r="J18" s="35">
        <v>457</v>
      </c>
      <c r="K18" s="35">
        <f>376.48+367.479</f>
        <v>743.95900000000006</v>
      </c>
      <c r="L18" s="35">
        <v>1795</v>
      </c>
      <c r="M18" s="35"/>
      <c r="N18" s="35"/>
      <c r="O18" s="35"/>
      <c r="P18" s="35"/>
      <c r="Q18" s="35">
        <v>4414</v>
      </c>
      <c r="R18" s="35"/>
      <c r="S18" s="35"/>
      <c r="T18" s="35"/>
      <c r="U18" s="35">
        <v>2690.78</v>
      </c>
      <c r="V18" s="36"/>
      <c r="W18" s="35"/>
      <c r="X18" s="35"/>
      <c r="Y18" s="35"/>
    </row>
    <row r="19" spans="1:25" s="7" customFormat="1" ht="15.75" x14ac:dyDescent="0.25">
      <c r="A19" s="13" t="s">
        <v>253</v>
      </c>
      <c r="B19" s="33">
        <v>351658.08</v>
      </c>
      <c r="C19" s="35">
        <f t="shared" si="0"/>
        <v>53588.536399999997</v>
      </c>
      <c r="D19" s="35"/>
      <c r="E19" s="35"/>
      <c r="F19" s="35"/>
      <c r="G19" s="35">
        <f>3109.9844+657.732</f>
        <v>3767.7163999999998</v>
      </c>
      <c r="H19" s="35"/>
      <c r="I19" s="35"/>
      <c r="J19" s="35">
        <f>676+1265.66+21558.3+157.65+2056</f>
        <v>25713.61</v>
      </c>
      <c r="K19" s="35">
        <f>376.48+376.48+1060</f>
        <v>1812.96</v>
      </c>
      <c r="L19" s="35"/>
      <c r="M19" s="35"/>
      <c r="N19" s="35"/>
      <c r="O19" s="35"/>
      <c r="P19" s="35"/>
      <c r="Q19" s="35">
        <v>10507</v>
      </c>
      <c r="R19" s="35"/>
      <c r="S19" s="35">
        <v>2080</v>
      </c>
      <c r="T19" s="35">
        <v>1232.9100000000001</v>
      </c>
      <c r="U19" s="35">
        <v>8041.57</v>
      </c>
      <c r="V19" s="36">
        <v>432.77</v>
      </c>
      <c r="W19" s="35"/>
      <c r="X19" s="35"/>
      <c r="Y19" s="35"/>
    </row>
    <row r="20" spans="1:25" s="7" customFormat="1" ht="15.75" customHeight="1" x14ac:dyDescent="0.25">
      <c r="A20" s="13" t="s">
        <v>254</v>
      </c>
      <c r="B20" s="33">
        <v>414019.08</v>
      </c>
      <c r="C20" s="35">
        <f t="shared" si="0"/>
        <v>367028.04</v>
      </c>
      <c r="D20" s="35"/>
      <c r="E20" s="35"/>
      <c r="F20" s="35"/>
      <c r="G20" s="35">
        <v>1044.3</v>
      </c>
      <c r="H20" s="35"/>
      <c r="I20" s="35"/>
      <c r="J20" s="35">
        <f>220.56+2469</f>
        <v>2689.56</v>
      </c>
      <c r="K20" s="35">
        <v>776</v>
      </c>
      <c r="L20" s="35">
        <v>3744.99</v>
      </c>
      <c r="M20" s="35"/>
      <c r="N20" s="35"/>
      <c r="O20" s="35"/>
      <c r="P20" s="35"/>
      <c r="Q20" s="35">
        <v>80858.399999999994</v>
      </c>
      <c r="R20" s="35"/>
      <c r="S20" s="35">
        <v>2359.6999999999998</v>
      </c>
      <c r="T20" s="35"/>
      <c r="U20" s="35">
        <v>1142.3399999999999</v>
      </c>
      <c r="V20" s="36">
        <v>9652</v>
      </c>
      <c r="W20" s="35"/>
      <c r="X20" s="35">
        <v>264760.75</v>
      </c>
      <c r="Y20" s="35"/>
    </row>
    <row r="21" spans="1:25" s="7" customFormat="1" ht="15.75" customHeight="1" x14ac:dyDescent="0.25">
      <c r="A21" s="13" t="s">
        <v>255</v>
      </c>
      <c r="B21" s="33">
        <v>764761.44</v>
      </c>
      <c r="C21" s="35">
        <f t="shared" si="0"/>
        <v>70578.698999999993</v>
      </c>
      <c r="D21" s="35"/>
      <c r="E21" s="35"/>
      <c r="F21" s="35"/>
      <c r="G21" s="35">
        <v>785.08</v>
      </c>
      <c r="H21" s="35"/>
      <c r="I21" s="35"/>
      <c r="J21" s="35">
        <f>3117.52+1789.01</f>
        <v>4906.53</v>
      </c>
      <c r="K21" s="35">
        <f>376.48+376.479+376.48+850</f>
        <v>1979.4390000000001</v>
      </c>
      <c r="L21" s="35">
        <f>14572.2+1767.99</f>
        <v>16340.19</v>
      </c>
      <c r="M21" s="35"/>
      <c r="N21" s="35"/>
      <c r="O21" s="35"/>
      <c r="P21" s="35"/>
      <c r="Q21" s="35">
        <v>46567.46</v>
      </c>
      <c r="R21" s="35"/>
      <c r="S21" s="35"/>
      <c r="T21" s="35"/>
      <c r="U21" s="35"/>
      <c r="V21" s="36"/>
      <c r="W21" s="35"/>
      <c r="X21" s="35"/>
      <c r="Y21" s="35"/>
    </row>
    <row r="22" spans="1:25" ht="15.75" customHeight="1" x14ac:dyDescent="0.25">
      <c r="A22" s="13" t="s">
        <v>256</v>
      </c>
      <c r="B22" s="33">
        <v>143749.56</v>
      </c>
      <c r="C22" s="35">
        <f t="shared" si="0"/>
        <v>89532.409999999989</v>
      </c>
      <c r="D22" s="35"/>
      <c r="E22" s="35"/>
      <c r="F22" s="35"/>
      <c r="G22" s="35"/>
      <c r="H22" s="35"/>
      <c r="I22" s="35"/>
      <c r="J22" s="35"/>
      <c r="K22" s="35">
        <v>376.48</v>
      </c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6"/>
      <c r="W22" s="35"/>
      <c r="X22" s="35">
        <v>89155.93</v>
      </c>
      <c r="Y22" s="35"/>
    </row>
    <row r="23" spans="1:25" s="56" customFormat="1" ht="15.75" customHeight="1" x14ac:dyDescent="0.25">
      <c r="A23" s="13" t="s">
        <v>257</v>
      </c>
      <c r="B23" s="33">
        <v>296036.40000000002</v>
      </c>
      <c r="C23" s="35">
        <f t="shared" si="0"/>
        <v>191399.37240000002</v>
      </c>
      <c r="D23" s="35">
        <v>2478.6961999999999</v>
      </c>
      <c r="E23" s="35"/>
      <c r="F23" s="35"/>
      <c r="G23" s="35"/>
      <c r="H23" s="35"/>
      <c r="I23" s="35"/>
      <c r="J23" s="35">
        <f>633.7+2616.06</f>
        <v>3249.76</v>
      </c>
      <c r="K23" s="35">
        <v>376.48</v>
      </c>
      <c r="L23" s="35">
        <v>2708.89</v>
      </c>
      <c r="M23" s="35"/>
      <c r="N23" s="35">
        <v>2190.4812000000002</v>
      </c>
      <c r="O23" s="35">
        <v>1651.835</v>
      </c>
      <c r="P23" s="35"/>
      <c r="Q23" s="35"/>
      <c r="R23" s="35"/>
      <c r="S23" s="35">
        <v>1387.79</v>
      </c>
      <c r="T23" s="35">
        <v>702.74</v>
      </c>
      <c r="U23" s="35"/>
      <c r="V23" s="36"/>
      <c r="W23" s="35"/>
      <c r="X23" s="35">
        <v>176652.7</v>
      </c>
      <c r="Y23" s="35"/>
    </row>
    <row r="24" spans="1:25" s="7" customFormat="1" ht="15.75" customHeight="1" x14ac:dyDescent="0.25">
      <c r="A24" s="13" t="s">
        <v>258</v>
      </c>
      <c r="B24" s="33">
        <v>548803.92000000004</v>
      </c>
      <c r="C24" s="35">
        <f t="shared" si="0"/>
        <v>447010.18980000005</v>
      </c>
      <c r="D24" s="35"/>
      <c r="E24" s="35"/>
      <c r="F24" s="35"/>
      <c r="G24" s="35">
        <v>353660.163</v>
      </c>
      <c r="H24" s="35">
        <v>20520.46</v>
      </c>
      <c r="I24" s="35"/>
      <c r="J24" s="35">
        <f>5719.34+2699.32+6540.07</f>
        <v>14958.73</v>
      </c>
      <c r="K24" s="35">
        <f>376.48+592.87</f>
        <v>969.35</v>
      </c>
      <c r="L24" s="35">
        <v>11938.19</v>
      </c>
      <c r="M24" s="35"/>
      <c r="N24" s="35">
        <f>6893.78+10340.6468</f>
        <v>17234.426800000001</v>
      </c>
      <c r="O24" s="35"/>
      <c r="P24" s="35"/>
      <c r="Q24" s="35">
        <f>9686.03+5502.41+10641.9</f>
        <v>25830.34</v>
      </c>
      <c r="R24" s="35"/>
      <c r="S24" s="35">
        <v>1898.53</v>
      </c>
      <c r="T24" s="35"/>
      <c r="U24" s="35"/>
      <c r="V24" s="36"/>
      <c r="W24" s="35"/>
      <c r="X24" s="35"/>
      <c r="Y24" s="35"/>
    </row>
    <row r="25" spans="1:25" s="7" customFormat="1" ht="15.75" customHeight="1" x14ac:dyDescent="0.25">
      <c r="A25" s="13" t="s">
        <v>259</v>
      </c>
      <c r="B25" s="33">
        <v>308196.12</v>
      </c>
      <c r="C25" s="35">
        <f t="shared" si="0"/>
        <v>248582.02500000002</v>
      </c>
      <c r="D25" s="35"/>
      <c r="E25" s="35"/>
      <c r="F25" s="35"/>
      <c r="G25" s="35"/>
      <c r="H25" s="35"/>
      <c r="I25" s="35"/>
      <c r="J25" s="35">
        <f>1601.68+1372.53</f>
        <v>2974.21</v>
      </c>
      <c r="K25" s="35"/>
      <c r="L25" s="35">
        <v>3111.31</v>
      </c>
      <c r="M25" s="35"/>
      <c r="N25" s="35">
        <f>11650.9424+938.7726</f>
        <v>12589.715</v>
      </c>
      <c r="O25" s="35"/>
      <c r="P25" s="35"/>
      <c r="Q25" s="35">
        <f>26860.46+33378.6</f>
        <v>60239.06</v>
      </c>
      <c r="R25" s="35"/>
      <c r="S25" s="35">
        <f>405.96+3069.52</f>
        <v>3475.48</v>
      </c>
      <c r="T25" s="35"/>
      <c r="U25" s="35"/>
      <c r="V25" s="36">
        <f>432.77+5217</f>
        <v>5649.77</v>
      </c>
      <c r="W25" s="35"/>
      <c r="X25" s="35">
        <v>150040.48000000001</v>
      </c>
      <c r="Y25" s="35">
        <v>10502</v>
      </c>
    </row>
    <row r="26" spans="1:25" s="7" customFormat="1" ht="15.75" customHeight="1" x14ac:dyDescent="0.25">
      <c r="A26" s="13" t="s">
        <v>260</v>
      </c>
      <c r="B26" s="33">
        <v>444716.16</v>
      </c>
      <c r="C26" s="35">
        <f t="shared" si="0"/>
        <v>6982.27</v>
      </c>
      <c r="D26" s="35"/>
      <c r="E26" s="35"/>
      <c r="F26" s="35"/>
      <c r="G26" s="35"/>
      <c r="H26" s="35"/>
      <c r="I26" s="35"/>
      <c r="J26" s="35">
        <v>273</v>
      </c>
      <c r="K26" s="35">
        <f>376.48+376.48+304</f>
        <v>1056.96</v>
      </c>
      <c r="L26" s="35"/>
      <c r="M26" s="35"/>
      <c r="N26" s="35"/>
      <c r="O26" s="35"/>
      <c r="P26" s="35"/>
      <c r="Q26" s="35"/>
      <c r="R26" s="35"/>
      <c r="S26" s="35"/>
      <c r="T26" s="35">
        <f>4920.31+732</f>
        <v>5652.31</v>
      </c>
      <c r="U26" s="35"/>
      <c r="V26" s="36"/>
      <c r="W26" s="35"/>
      <c r="X26" s="35"/>
      <c r="Y26" s="35"/>
    </row>
    <row r="27" spans="1:25" s="7" customFormat="1" ht="15.75" customHeight="1" x14ac:dyDescent="0.25">
      <c r="A27" s="13" t="s">
        <v>261</v>
      </c>
      <c r="B27" s="33">
        <v>279435.24</v>
      </c>
      <c r="C27" s="35">
        <f t="shared" si="0"/>
        <v>39859.56</v>
      </c>
      <c r="D27" s="35"/>
      <c r="E27" s="35"/>
      <c r="F27" s="35"/>
      <c r="G27" s="35"/>
      <c r="H27" s="35"/>
      <c r="I27" s="35"/>
      <c r="J27" s="35">
        <f>9282.79+4004.21+1354.38+5662.6</f>
        <v>20303.980000000003</v>
      </c>
      <c r="K27" s="35">
        <v>10078</v>
      </c>
      <c r="L27" s="35"/>
      <c r="M27" s="35"/>
      <c r="N27" s="35">
        <v>793.99</v>
      </c>
      <c r="O27" s="35">
        <v>8171</v>
      </c>
      <c r="P27" s="35"/>
      <c r="Q27" s="35"/>
      <c r="R27" s="35"/>
      <c r="S27" s="35"/>
      <c r="T27" s="35"/>
      <c r="U27" s="35"/>
      <c r="V27" s="36"/>
      <c r="W27" s="35"/>
      <c r="X27" s="35"/>
      <c r="Y27" s="35">
        <v>512.59</v>
      </c>
    </row>
    <row r="28" spans="1:25" s="7" customFormat="1" ht="15.75" customHeight="1" x14ac:dyDescent="0.25">
      <c r="A28" s="13" t="s">
        <v>262</v>
      </c>
      <c r="B28" s="33" t="s">
        <v>402</v>
      </c>
      <c r="C28" s="35">
        <f t="shared" si="0"/>
        <v>17412.599999999999</v>
      </c>
      <c r="D28" s="35">
        <v>9269</v>
      </c>
      <c r="E28" s="35"/>
      <c r="F28" s="35"/>
      <c r="G28" s="35">
        <v>5750.6</v>
      </c>
      <c r="H28" s="35"/>
      <c r="I28" s="35"/>
      <c r="J28" s="35"/>
      <c r="K28" s="35"/>
      <c r="L28" s="35">
        <v>2393</v>
      </c>
      <c r="M28" s="35"/>
      <c r="N28" s="35"/>
      <c r="O28" s="35"/>
      <c r="P28" s="35"/>
      <c r="Q28" s="35"/>
      <c r="R28" s="35"/>
      <c r="S28" s="35"/>
      <c r="T28" s="35"/>
      <c r="U28" s="35"/>
      <c r="V28" s="36"/>
      <c r="W28" s="35"/>
      <c r="X28" s="35"/>
      <c r="Y28" s="35"/>
    </row>
    <row r="29" spans="1:25" ht="15.75" customHeight="1" x14ac:dyDescent="0.25">
      <c r="A29" s="13" t="s">
        <v>393</v>
      </c>
      <c r="B29" s="33">
        <v>74981.279999999999</v>
      </c>
      <c r="C29" s="35">
        <f t="shared" si="0"/>
        <v>2016.14</v>
      </c>
      <c r="D29" s="35"/>
      <c r="E29" s="35"/>
      <c r="F29" s="35"/>
      <c r="G29" s="35"/>
      <c r="H29" s="35"/>
      <c r="I29" s="35"/>
      <c r="J29" s="35">
        <v>2016.14</v>
      </c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6"/>
      <c r="W29" s="35"/>
      <c r="X29" s="35"/>
      <c r="Y29" s="35"/>
    </row>
    <row r="30" spans="1:25" s="7" customFormat="1" ht="15.75" customHeight="1" x14ac:dyDescent="0.25">
      <c r="A30" s="13" t="s">
        <v>263</v>
      </c>
      <c r="B30" s="33">
        <v>90928.56</v>
      </c>
      <c r="C30" s="35">
        <f t="shared" si="0"/>
        <v>116409.34</v>
      </c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>
        <v>54854.45</v>
      </c>
      <c r="R30" s="35"/>
      <c r="S30" s="35">
        <v>1192.3499999999999</v>
      </c>
      <c r="T30" s="35">
        <v>452.58</v>
      </c>
      <c r="U30" s="35"/>
      <c r="V30" s="36">
        <f>432.77+869</f>
        <v>1301.77</v>
      </c>
      <c r="W30" s="35"/>
      <c r="X30" s="35">
        <v>58608.19</v>
      </c>
      <c r="Y30" s="35"/>
    </row>
    <row r="31" spans="1:25" s="7" customFormat="1" ht="15.75" customHeight="1" x14ac:dyDescent="0.25">
      <c r="A31" s="13" t="s">
        <v>264</v>
      </c>
      <c r="B31" s="33">
        <v>95731.68</v>
      </c>
      <c r="C31" s="35">
        <f t="shared" si="0"/>
        <v>37303.31</v>
      </c>
      <c r="D31" s="35">
        <v>4963.08</v>
      </c>
      <c r="E31" s="35"/>
      <c r="F31" s="35"/>
      <c r="G31" s="35"/>
      <c r="H31" s="35"/>
      <c r="I31" s="35"/>
      <c r="J31" s="35">
        <f>2795.24+4626.8</f>
        <v>7422.04</v>
      </c>
      <c r="K31" s="35">
        <v>1778.61</v>
      </c>
      <c r="L31" s="35">
        <v>12610.7</v>
      </c>
      <c r="M31" s="35"/>
      <c r="N31" s="35"/>
      <c r="O31" s="35"/>
      <c r="P31" s="35"/>
      <c r="Q31" s="35"/>
      <c r="R31" s="35"/>
      <c r="S31" s="35">
        <v>1919.54</v>
      </c>
      <c r="T31" s="35"/>
      <c r="U31" s="35"/>
      <c r="V31" s="36">
        <f>432.77+8176.57</f>
        <v>8609.34</v>
      </c>
      <c r="W31" s="35"/>
      <c r="X31" s="35"/>
      <c r="Y31" s="35"/>
    </row>
    <row r="32" spans="1:25" s="7" customFormat="1" ht="15.75" customHeight="1" x14ac:dyDescent="0.25">
      <c r="A32" s="13" t="s">
        <v>265</v>
      </c>
      <c r="B32" s="33">
        <v>39153.599999999999</v>
      </c>
      <c r="C32" s="35">
        <f t="shared" si="0"/>
        <v>73169.73000000001</v>
      </c>
      <c r="D32" s="35"/>
      <c r="E32" s="35"/>
      <c r="F32" s="35"/>
      <c r="G32" s="35"/>
      <c r="H32" s="35"/>
      <c r="I32" s="35"/>
      <c r="J32" s="35">
        <v>2129</v>
      </c>
      <c r="K32" s="35"/>
      <c r="L32" s="35">
        <v>1900</v>
      </c>
      <c r="M32" s="35"/>
      <c r="N32" s="35">
        <v>6414.77</v>
      </c>
      <c r="O32" s="35"/>
      <c r="P32" s="35"/>
      <c r="Q32" s="35"/>
      <c r="R32" s="35"/>
      <c r="S32" s="35"/>
      <c r="T32" s="35"/>
      <c r="U32" s="35"/>
      <c r="V32" s="36">
        <f>432.77+869</f>
        <v>1301.77</v>
      </c>
      <c r="W32" s="35"/>
      <c r="X32" s="35">
        <v>61424.19</v>
      </c>
      <c r="Y32" s="35"/>
    </row>
    <row r="33" spans="1:25" s="9" customFormat="1" ht="15.75" customHeight="1" x14ac:dyDescent="0.25">
      <c r="A33" s="44" t="s">
        <v>266</v>
      </c>
      <c r="B33" s="45">
        <v>393681.84</v>
      </c>
      <c r="C33" s="46">
        <f>D33+E33+G33+H33+I33+J33+K33+L33+N33+O33+P33+Q33+R33+S33+T33+U33+V33+W33+X33+Y33+F33</f>
        <v>578227.71</v>
      </c>
      <c r="D33" s="46"/>
      <c r="E33" s="46">
        <v>262991.38</v>
      </c>
      <c r="F33" s="46"/>
      <c r="G33" s="35">
        <f>3845.7+7865</f>
        <v>11710.7</v>
      </c>
      <c r="H33" s="46"/>
      <c r="I33" s="46"/>
      <c r="J33" s="46">
        <f>4248.32+647.67+6998.8</f>
        <v>11894.79</v>
      </c>
      <c r="K33" s="46"/>
      <c r="L33" s="46">
        <v>46598.3</v>
      </c>
      <c r="M33" s="46">
        <v>5762.08</v>
      </c>
      <c r="N33" s="46"/>
      <c r="O33" s="46"/>
      <c r="P33" s="46"/>
      <c r="Q33" s="46">
        <v>17984.2</v>
      </c>
      <c r="R33" s="46"/>
      <c r="S33" s="46">
        <v>354.74</v>
      </c>
      <c r="T33" s="46"/>
      <c r="U33" s="46">
        <f>1313.14+5761.86+1327.42</f>
        <v>8402.42</v>
      </c>
      <c r="V33" s="47">
        <f>1541.5+5549</f>
        <v>7090.5</v>
      </c>
      <c r="W33" s="46"/>
      <c r="X33" s="46">
        <v>211200.68</v>
      </c>
      <c r="Y33" s="46"/>
    </row>
    <row r="34" spans="1:25" ht="15.75" customHeight="1" x14ac:dyDescent="0.25">
      <c r="A34" s="13" t="s">
        <v>267</v>
      </c>
      <c r="B34" s="33">
        <v>246636.96</v>
      </c>
      <c r="C34" s="35">
        <f t="shared" si="0"/>
        <v>64513.539000000004</v>
      </c>
      <c r="D34" s="35">
        <v>9579.8889999999992</v>
      </c>
      <c r="E34" s="35"/>
      <c r="F34" s="35"/>
      <c r="G34" s="35"/>
      <c r="H34" s="35"/>
      <c r="I34" s="35"/>
      <c r="J34" s="35">
        <v>1111.0999999999999</v>
      </c>
      <c r="K34" s="35"/>
      <c r="L34" s="35">
        <v>18705</v>
      </c>
      <c r="M34" s="35"/>
      <c r="N34" s="35"/>
      <c r="O34" s="35"/>
      <c r="P34" s="35"/>
      <c r="Q34" s="35">
        <f>8099.46+4709.84</f>
        <v>12809.3</v>
      </c>
      <c r="R34" s="35">
        <v>6953.99</v>
      </c>
      <c r="S34" s="35">
        <f>2188.38+731.01</f>
        <v>2919.3900000000003</v>
      </c>
      <c r="T34" s="35"/>
      <c r="U34" s="35">
        <f>685.77+11749.1</f>
        <v>12434.87</v>
      </c>
      <c r="V34" s="36"/>
      <c r="W34" s="35"/>
      <c r="X34" s="35"/>
      <c r="Y34" s="35"/>
    </row>
    <row r="35" spans="1:25" ht="15.75" customHeight="1" x14ac:dyDescent="0.25">
      <c r="A35" s="13" t="s">
        <v>268</v>
      </c>
      <c r="B35" s="33">
        <v>281941.8</v>
      </c>
      <c r="C35" s="37">
        <f>D35+E35+F35+G35+H35+I35+J35+K35+L35+M35+N35+O35+P35+Q35+R35+S35+T35+U35+V35+W35+X35+Y35</f>
        <v>59335.637999999999</v>
      </c>
      <c r="D35" s="35"/>
      <c r="E35" s="35"/>
      <c r="F35" s="35"/>
      <c r="G35" s="35"/>
      <c r="H35" s="35"/>
      <c r="I35" s="35"/>
      <c r="J35" s="35">
        <f>3618.51+4285.4</f>
        <v>7903.91</v>
      </c>
      <c r="K35" s="35"/>
      <c r="L35" s="35">
        <f>743+2869</f>
        <v>3612</v>
      </c>
      <c r="M35" s="35"/>
      <c r="N35" s="37">
        <v>2620.7800000000002</v>
      </c>
      <c r="O35" s="35"/>
      <c r="P35" s="35"/>
      <c r="Q35" s="35">
        <f>2176.888+4318</f>
        <v>6494.8879999999999</v>
      </c>
      <c r="R35" s="35"/>
      <c r="S35" s="35">
        <v>4840.3599999999997</v>
      </c>
      <c r="T35" s="35"/>
      <c r="U35" s="35"/>
      <c r="V35" s="36"/>
      <c r="W35" s="35"/>
      <c r="X35" s="35"/>
      <c r="Y35" s="35">
        <v>33863.699999999997</v>
      </c>
    </row>
    <row r="36" spans="1:25" ht="15.75" customHeight="1" x14ac:dyDescent="0.25">
      <c r="A36" s="13" t="s">
        <v>269</v>
      </c>
      <c r="B36" s="33">
        <v>185412.84</v>
      </c>
      <c r="C36" s="35">
        <f t="shared" si="0"/>
        <v>99271.41</v>
      </c>
      <c r="D36" s="35"/>
      <c r="E36" s="35"/>
      <c r="F36" s="35"/>
      <c r="G36" s="35">
        <v>86687.46</v>
      </c>
      <c r="H36" s="35"/>
      <c r="I36" s="35"/>
      <c r="J36" s="35"/>
      <c r="K36" s="35">
        <v>933</v>
      </c>
      <c r="L36" s="35"/>
      <c r="M36" s="35"/>
      <c r="N36" s="35"/>
      <c r="O36" s="35"/>
      <c r="P36" s="35"/>
      <c r="Q36" s="35">
        <v>4207.78</v>
      </c>
      <c r="R36" s="35">
        <v>3551</v>
      </c>
      <c r="S36" s="35">
        <v>1037.22</v>
      </c>
      <c r="T36" s="35">
        <v>228</v>
      </c>
      <c r="U36" s="35">
        <v>2626.95</v>
      </c>
      <c r="V36" s="36"/>
      <c r="W36" s="35"/>
      <c r="X36" s="35"/>
      <c r="Y36" s="35"/>
    </row>
    <row r="37" spans="1:25" s="7" customFormat="1" ht="15.75" customHeight="1" x14ac:dyDescent="0.25">
      <c r="A37" s="13" t="s">
        <v>270</v>
      </c>
      <c r="B37" s="33">
        <v>214127.64</v>
      </c>
      <c r="C37" s="35">
        <f t="shared" si="0"/>
        <v>13566.46</v>
      </c>
      <c r="D37" s="35"/>
      <c r="E37" s="35"/>
      <c r="F37" s="35"/>
      <c r="G37" s="35"/>
      <c r="H37" s="35"/>
      <c r="I37" s="35"/>
      <c r="J37" s="35">
        <f>2843.89+4061.47</f>
        <v>6905.36</v>
      </c>
      <c r="K37" s="35"/>
      <c r="L37" s="35"/>
      <c r="M37" s="35"/>
      <c r="N37" s="35"/>
      <c r="O37" s="35"/>
      <c r="P37" s="35"/>
      <c r="Q37" s="35">
        <v>974.68</v>
      </c>
      <c r="R37" s="35"/>
      <c r="S37" s="35"/>
      <c r="T37" s="35">
        <v>5686.42</v>
      </c>
      <c r="U37" s="35"/>
      <c r="V37" s="36"/>
      <c r="W37" s="35"/>
      <c r="X37" s="35"/>
      <c r="Y37" s="35"/>
    </row>
    <row r="38" spans="1:25" s="7" customFormat="1" ht="15.75" customHeight="1" x14ac:dyDescent="0.25">
      <c r="A38" s="13" t="s">
        <v>271</v>
      </c>
      <c r="B38" s="33">
        <v>1229994.1200000001</v>
      </c>
      <c r="C38" s="35">
        <f t="shared" si="0"/>
        <v>144514.77799999999</v>
      </c>
      <c r="D38" s="35">
        <v>13547.58</v>
      </c>
      <c r="E38" s="35"/>
      <c r="F38" s="35"/>
      <c r="G38" s="35">
        <v>785.08</v>
      </c>
      <c r="H38" s="35"/>
      <c r="I38" s="35"/>
      <c r="J38" s="35">
        <f>2843.89+15970.27</f>
        <v>18814.16</v>
      </c>
      <c r="K38" s="35">
        <f>752.95+304</f>
        <v>1056.95</v>
      </c>
      <c r="L38" s="35">
        <v>14240.5</v>
      </c>
      <c r="M38" s="35">
        <v>5121.8500000000004</v>
      </c>
      <c r="N38" s="35">
        <f>4168.16+3442.178</f>
        <v>7610.3379999999997</v>
      </c>
      <c r="O38" s="35">
        <v>16161.28</v>
      </c>
      <c r="P38" s="35"/>
      <c r="Q38" s="35">
        <v>50328</v>
      </c>
      <c r="R38" s="35"/>
      <c r="S38" s="35">
        <f>3572.8+1037.22</f>
        <v>4610.0200000000004</v>
      </c>
      <c r="T38" s="35"/>
      <c r="U38" s="35">
        <v>1142.95</v>
      </c>
      <c r="V38" s="36">
        <v>16217.92</v>
      </c>
      <c r="W38" s="35"/>
      <c r="X38" s="35"/>
      <c r="Y38" s="35"/>
    </row>
    <row r="39" spans="1:25" s="7" customFormat="1" ht="15.75" customHeight="1" x14ac:dyDescent="0.25">
      <c r="A39" s="13" t="s">
        <v>272</v>
      </c>
      <c r="B39" s="33">
        <v>146181.48000000001</v>
      </c>
      <c r="C39" s="35">
        <f t="shared" si="0"/>
        <v>27033.77</v>
      </c>
      <c r="D39" s="35"/>
      <c r="E39" s="35"/>
      <c r="F39" s="35"/>
      <c r="G39" s="35">
        <f>2887.1+1705.97</f>
        <v>4593.07</v>
      </c>
      <c r="H39" s="35"/>
      <c r="I39" s="35"/>
      <c r="J39" s="35">
        <f>519.7+1979.44+349.28+7926.2</f>
        <v>10774.619999999999</v>
      </c>
      <c r="K39" s="35"/>
      <c r="L39" s="35">
        <v>1197</v>
      </c>
      <c r="M39" s="35"/>
      <c r="N39" s="35">
        <v>7703.31</v>
      </c>
      <c r="O39" s="35"/>
      <c r="P39" s="35"/>
      <c r="Q39" s="35"/>
      <c r="R39" s="35"/>
      <c r="S39" s="35"/>
      <c r="T39" s="35">
        <v>1464</v>
      </c>
      <c r="U39" s="35"/>
      <c r="V39" s="36">
        <f>432.77+869</f>
        <v>1301.77</v>
      </c>
      <c r="W39" s="35"/>
      <c r="X39" s="35"/>
      <c r="Y39" s="35"/>
    </row>
    <row r="40" spans="1:25" ht="15.75" customHeight="1" x14ac:dyDescent="0.25">
      <c r="A40" s="13" t="s">
        <v>273</v>
      </c>
      <c r="B40" s="33">
        <v>56109.24</v>
      </c>
      <c r="C40" s="35">
        <f t="shared" si="0"/>
        <v>121204.12</v>
      </c>
      <c r="D40" s="35"/>
      <c r="E40" s="35"/>
      <c r="F40" s="35"/>
      <c r="G40" s="35">
        <v>6297.31</v>
      </c>
      <c r="H40" s="35">
        <v>21454.34</v>
      </c>
      <c r="I40" s="35"/>
      <c r="J40" s="35">
        <f>309.01+424.8</f>
        <v>733.81</v>
      </c>
      <c r="K40" s="35"/>
      <c r="L40" s="35">
        <v>37613.1</v>
      </c>
      <c r="M40" s="35"/>
      <c r="N40" s="35">
        <v>3529.98</v>
      </c>
      <c r="O40" s="35"/>
      <c r="P40" s="35"/>
      <c r="Q40" s="35">
        <v>4772.7</v>
      </c>
      <c r="R40" s="35">
        <v>4353.5</v>
      </c>
      <c r="S40" s="35">
        <v>691.48</v>
      </c>
      <c r="T40" s="35"/>
      <c r="U40" s="35"/>
      <c r="V40" s="36">
        <f>432.77+2429</f>
        <v>2861.77</v>
      </c>
      <c r="W40" s="35"/>
      <c r="X40" s="35">
        <v>38896.129999999997</v>
      </c>
      <c r="Y40" s="35"/>
    </row>
    <row r="41" spans="1:25" ht="15.75" customHeight="1" x14ac:dyDescent="0.25">
      <c r="A41" s="13" t="s">
        <v>274</v>
      </c>
      <c r="B41" s="33">
        <v>29043.599999999999</v>
      </c>
      <c r="C41" s="35">
        <f t="shared" si="0"/>
        <v>30791.08</v>
      </c>
      <c r="D41" s="35"/>
      <c r="E41" s="35"/>
      <c r="F41" s="35"/>
      <c r="G41" s="35"/>
      <c r="H41" s="35"/>
      <c r="I41" s="35"/>
      <c r="J41" s="35">
        <v>4391</v>
      </c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6"/>
      <c r="W41" s="35"/>
      <c r="X41" s="35">
        <v>26400.080000000002</v>
      </c>
      <c r="Y41" s="35"/>
    </row>
    <row r="42" spans="1:25" s="7" customFormat="1" ht="15.75" customHeight="1" x14ac:dyDescent="0.25">
      <c r="A42" s="13" t="s">
        <v>275</v>
      </c>
      <c r="B42" s="33">
        <v>135216.95999999999</v>
      </c>
      <c r="C42" s="35">
        <f t="shared" si="0"/>
        <v>346796.47</v>
      </c>
      <c r="D42" s="35"/>
      <c r="E42" s="35"/>
      <c r="F42" s="35"/>
      <c r="G42" s="35">
        <f>78521.25+9554.81+213.69</f>
        <v>88289.75</v>
      </c>
      <c r="H42" s="35">
        <v>67219</v>
      </c>
      <c r="I42" s="35"/>
      <c r="J42" s="35"/>
      <c r="K42" s="35">
        <f>1108.7+3264.92+23787.9</f>
        <v>28161.52</v>
      </c>
      <c r="L42" s="35">
        <v>37915.53</v>
      </c>
      <c r="M42" s="35"/>
      <c r="N42" s="35"/>
      <c r="O42" s="35"/>
      <c r="P42" s="35"/>
      <c r="Q42" s="35">
        <v>7253.84</v>
      </c>
      <c r="R42" s="35"/>
      <c r="S42" s="35"/>
      <c r="T42" s="35">
        <v>2655.38</v>
      </c>
      <c r="U42" s="35">
        <v>1711.3</v>
      </c>
      <c r="V42" s="36">
        <f>432.77+869</f>
        <v>1301.77</v>
      </c>
      <c r="W42" s="35"/>
      <c r="X42" s="35">
        <v>112288.38</v>
      </c>
      <c r="Y42" s="35"/>
    </row>
    <row r="43" spans="1:25" s="7" customFormat="1" ht="15.75" customHeight="1" x14ac:dyDescent="0.25">
      <c r="A43" s="13" t="s">
        <v>276</v>
      </c>
      <c r="B43" s="33">
        <v>112103.52</v>
      </c>
      <c r="C43" s="35">
        <f t="shared" si="0"/>
        <v>77909.259999999995</v>
      </c>
      <c r="D43" s="35"/>
      <c r="E43" s="35"/>
      <c r="F43" s="35"/>
      <c r="G43" s="35">
        <v>554.46</v>
      </c>
      <c r="H43" s="35"/>
      <c r="I43" s="35"/>
      <c r="J43" s="35">
        <f>532.57+5201</f>
        <v>5733.57</v>
      </c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6">
        <v>869</v>
      </c>
      <c r="W43" s="35"/>
      <c r="X43" s="35">
        <v>70752.23</v>
      </c>
      <c r="Y43" s="35"/>
    </row>
    <row r="44" spans="1:25" s="7" customFormat="1" ht="15.75" customHeight="1" x14ac:dyDescent="0.25">
      <c r="A44" s="13" t="s">
        <v>277</v>
      </c>
      <c r="B44" s="33">
        <v>71503.08</v>
      </c>
      <c r="C44" s="35">
        <f t="shared" si="0"/>
        <v>48284.3</v>
      </c>
      <c r="D44" s="35"/>
      <c r="E44" s="35"/>
      <c r="F44" s="35"/>
      <c r="G44" s="35">
        <v>218.09</v>
      </c>
      <c r="H44" s="35"/>
      <c r="I44" s="35"/>
      <c r="J44" s="35">
        <f>3199.85+994</f>
        <v>4193.8500000000004</v>
      </c>
      <c r="K44" s="35"/>
      <c r="L44" s="35"/>
      <c r="M44" s="35"/>
      <c r="N44" s="35"/>
      <c r="O44" s="35"/>
      <c r="P44" s="35"/>
      <c r="Q44" s="35"/>
      <c r="R44" s="35"/>
      <c r="S44" s="35"/>
      <c r="T44" s="35">
        <v>1653.68</v>
      </c>
      <c r="U44" s="35">
        <v>1711.3</v>
      </c>
      <c r="V44" s="36">
        <f>1541.5+432.77+869</f>
        <v>2843.27</v>
      </c>
      <c r="W44" s="35"/>
      <c r="X44" s="35">
        <v>37664.11</v>
      </c>
      <c r="Y44" s="35"/>
    </row>
    <row r="45" spans="1:25" ht="15.75" customHeight="1" x14ac:dyDescent="0.25">
      <c r="A45" s="13" t="s">
        <v>394</v>
      </c>
      <c r="B45" s="33">
        <v>61282.44</v>
      </c>
      <c r="C45" s="35">
        <f t="shared" si="0"/>
        <v>59277.94</v>
      </c>
      <c r="D45" s="35"/>
      <c r="E45" s="35"/>
      <c r="F45" s="35"/>
      <c r="G45" s="35"/>
      <c r="H45" s="35"/>
      <c r="I45" s="35"/>
      <c r="J45" s="35">
        <f>4208</f>
        <v>4208</v>
      </c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6">
        <f>432.77+869</f>
        <v>1301.77</v>
      </c>
      <c r="W45" s="35"/>
      <c r="X45" s="35">
        <v>53768.17</v>
      </c>
      <c r="Y45" s="35"/>
    </row>
    <row r="46" spans="1:25" s="56" customFormat="1" ht="15.75" customHeight="1" x14ac:dyDescent="0.25">
      <c r="A46" s="13" t="s">
        <v>325</v>
      </c>
      <c r="B46" s="33">
        <v>19336.560000000001</v>
      </c>
      <c r="C46" s="35">
        <f t="shared" si="0"/>
        <v>58475.082999999999</v>
      </c>
      <c r="D46" s="35">
        <v>4563.7299999999996</v>
      </c>
      <c r="E46" s="35"/>
      <c r="F46" s="35"/>
      <c r="G46" s="35"/>
      <c r="H46" s="35"/>
      <c r="I46" s="35"/>
      <c r="J46" s="35">
        <f>6415.55+655.24+2973.6</f>
        <v>10044.39</v>
      </c>
      <c r="K46" s="35">
        <v>367.48</v>
      </c>
      <c r="L46" s="35">
        <v>11696.4</v>
      </c>
      <c r="M46" s="35"/>
      <c r="N46" s="35"/>
      <c r="O46" s="35">
        <v>1101.223</v>
      </c>
      <c r="P46" s="35"/>
      <c r="Q46" s="35"/>
      <c r="R46" s="35"/>
      <c r="S46" s="35"/>
      <c r="T46" s="35"/>
      <c r="U46" s="35"/>
      <c r="V46" s="36">
        <f>432.77+2021</f>
        <v>2453.77</v>
      </c>
      <c r="W46" s="35"/>
      <c r="X46" s="35">
        <v>28248.09</v>
      </c>
      <c r="Y46" s="35"/>
    </row>
    <row r="47" spans="1:25" s="7" customFormat="1" ht="15.75" customHeight="1" x14ac:dyDescent="0.25">
      <c r="A47" s="13" t="s">
        <v>326</v>
      </c>
      <c r="B47" s="33">
        <v>142794.35999999999</v>
      </c>
      <c r="C47" s="35">
        <f t="shared" si="0"/>
        <v>66547.745200000005</v>
      </c>
      <c r="D47" s="35"/>
      <c r="E47" s="35"/>
      <c r="F47" s="35"/>
      <c r="G47" s="35">
        <v>4582.1642000000002</v>
      </c>
      <c r="H47" s="35"/>
      <c r="I47" s="35"/>
      <c r="J47" s="35">
        <f>8169.64+7587.08</f>
        <v>15756.720000000001</v>
      </c>
      <c r="K47" s="35"/>
      <c r="L47" s="35"/>
      <c r="M47" s="35"/>
      <c r="N47" s="35">
        <v>4781</v>
      </c>
      <c r="O47" s="35"/>
      <c r="P47" s="35"/>
      <c r="Q47" s="35">
        <f>2367.741+1878.15+18712.07+990.94</f>
        <v>23948.900999999998</v>
      </c>
      <c r="R47" s="35"/>
      <c r="S47" s="35">
        <f>1244.28+12561+811.91</f>
        <v>14617.19</v>
      </c>
      <c r="T47" s="35"/>
      <c r="U47" s="35">
        <v>1560</v>
      </c>
      <c r="V47" s="36">
        <f>432.77+869</f>
        <v>1301.77</v>
      </c>
      <c r="W47" s="35"/>
      <c r="X47" s="35"/>
      <c r="Y47" s="35"/>
    </row>
    <row r="48" spans="1:25" s="7" customFormat="1" ht="15.75" customHeight="1" x14ac:dyDescent="0.25">
      <c r="A48" s="13" t="s">
        <v>327</v>
      </c>
      <c r="B48" s="33">
        <v>225481.2</v>
      </c>
      <c r="C48" s="35">
        <f t="shared" si="0"/>
        <v>14386.09</v>
      </c>
      <c r="D48" s="35"/>
      <c r="E48" s="35"/>
      <c r="F48" s="35"/>
      <c r="G48" s="35"/>
      <c r="H48" s="35"/>
      <c r="I48" s="35"/>
      <c r="J48" s="35">
        <v>994</v>
      </c>
      <c r="K48" s="35"/>
      <c r="L48" s="35"/>
      <c r="M48" s="35"/>
      <c r="N48" s="35">
        <v>6893.77</v>
      </c>
      <c r="O48" s="35"/>
      <c r="P48" s="35"/>
      <c r="Q48" s="35">
        <v>3201</v>
      </c>
      <c r="R48" s="35"/>
      <c r="S48" s="35"/>
      <c r="T48" s="35"/>
      <c r="U48" s="35">
        <v>1258.55</v>
      </c>
      <c r="V48" s="36">
        <f>432.77+1606</f>
        <v>2038.77</v>
      </c>
      <c r="W48" s="35"/>
      <c r="X48" s="35"/>
      <c r="Y48" s="35"/>
    </row>
    <row r="49" spans="1:25" s="56" customFormat="1" ht="15.75" customHeight="1" x14ac:dyDescent="0.25">
      <c r="A49" s="13" t="s">
        <v>375</v>
      </c>
      <c r="B49" s="33">
        <v>154673.04</v>
      </c>
      <c r="C49" s="35">
        <f t="shared" si="0"/>
        <v>37249.649999999994</v>
      </c>
      <c r="D49" s="35"/>
      <c r="E49" s="35"/>
      <c r="F49" s="35"/>
      <c r="G49" s="35">
        <f>3407+9445.96+9554.81</f>
        <v>22407.769999999997</v>
      </c>
      <c r="H49" s="35"/>
      <c r="I49" s="35"/>
      <c r="J49" s="35">
        <f>367.11+977</f>
        <v>1344.1100000000001</v>
      </c>
      <c r="K49" s="35"/>
      <c r="L49" s="35"/>
      <c r="M49" s="35"/>
      <c r="N49" s="35"/>
      <c r="O49" s="35">
        <v>11665</v>
      </c>
      <c r="P49" s="35"/>
      <c r="Q49" s="35"/>
      <c r="R49" s="35"/>
      <c r="S49" s="35"/>
      <c r="T49" s="35"/>
      <c r="U49" s="35"/>
      <c r="V49" s="36">
        <f>432.77+1400</f>
        <v>1832.77</v>
      </c>
      <c r="W49" s="35"/>
      <c r="X49" s="35"/>
      <c r="Y49" s="35"/>
    </row>
    <row r="50" spans="1:25" ht="15.75" customHeight="1" x14ac:dyDescent="0.25">
      <c r="A50" s="13" t="s">
        <v>376</v>
      </c>
      <c r="B50" s="33">
        <v>63297.96</v>
      </c>
      <c r="C50" s="35">
        <f t="shared" si="0"/>
        <v>13665.310000000001</v>
      </c>
      <c r="D50" s="35"/>
      <c r="E50" s="35"/>
      <c r="F50" s="35"/>
      <c r="G50" s="35"/>
      <c r="H50" s="35"/>
      <c r="I50" s="35"/>
      <c r="J50" s="35">
        <v>2520</v>
      </c>
      <c r="K50" s="35">
        <v>2067</v>
      </c>
      <c r="L50" s="35"/>
      <c r="M50" s="35"/>
      <c r="N50" s="35"/>
      <c r="O50" s="35"/>
      <c r="P50" s="35"/>
      <c r="Q50" s="35">
        <f>6170.04+1606</f>
        <v>7776.04</v>
      </c>
      <c r="R50" s="35"/>
      <c r="S50" s="35"/>
      <c r="T50" s="35"/>
      <c r="U50" s="35"/>
      <c r="V50" s="36">
        <f>432.77+869.5</f>
        <v>1302.27</v>
      </c>
      <c r="W50" s="35"/>
      <c r="X50" s="35"/>
      <c r="Y50" s="35"/>
    </row>
    <row r="51" spans="1:25" s="7" customFormat="1" ht="15.75" customHeight="1" x14ac:dyDescent="0.25">
      <c r="A51" s="13" t="s">
        <v>377</v>
      </c>
      <c r="B51" s="33">
        <v>109295.52</v>
      </c>
      <c r="C51" s="35">
        <f t="shared" si="0"/>
        <v>29905.14</v>
      </c>
      <c r="D51" s="35"/>
      <c r="E51" s="35"/>
      <c r="F51" s="35"/>
      <c r="G51" s="35"/>
      <c r="H51" s="35"/>
      <c r="I51" s="35"/>
      <c r="J51" s="35">
        <f>1306.71+1135</f>
        <v>2441.71</v>
      </c>
      <c r="K51" s="35"/>
      <c r="L51" s="35">
        <v>3403.96</v>
      </c>
      <c r="M51" s="35"/>
      <c r="N51" s="35"/>
      <c r="O51" s="35"/>
      <c r="P51" s="35"/>
      <c r="Q51" s="35"/>
      <c r="R51" s="35"/>
      <c r="S51" s="35">
        <v>4189.63</v>
      </c>
      <c r="T51" s="35"/>
      <c r="U51" s="35"/>
      <c r="V51" s="36">
        <f>432.77+869</f>
        <v>1301.77</v>
      </c>
      <c r="W51" s="35"/>
      <c r="X51" s="35">
        <v>18568.07</v>
      </c>
      <c r="Y51" s="35"/>
    </row>
    <row r="52" spans="1:25" ht="15.75" customHeight="1" x14ac:dyDescent="0.25">
      <c r="A52" s="13" t="s">
        <v>378</v>
      </c>
      <c r="B52" s="33">
        <v>184829.88</v>
      </c>
      <c r="C52" s="35">
        <f t="shared" si="0"/>
        <v>26107.26</v>
      </c>
      <c r="D52" s="35"/>
      <c r="E52" s="35"/>
      <c r="F52" s="35"/>
      <c r="G52" s="35"/>
      <c r="H52" s="35"/>
      <c r="I52" s="35"/>
      <c r="J52" s="35">
        <v>10448.370000000001</v>
      </c>
      <c r="K52" s="35"/>
      <c r="L52" s="35">
        <v>4189.63</v>
      </c>
      <c r="M52" s="35"/>
      <c r="N52" s="35">
        <v>1402.49</v>
      </c>
      <c r="O52" s="35"/>
      <c r="P52" s="35"/>
      <c r="Q52" s="35">
        <v>6220</v>
      </c>
      <c r="R52" s="35"/>
      <c r="S52" s="35"/>
      <c r="T52" s="35"/>
      <c r="U52" s="35"/>
      <c r="V52" s="36">
        <f>432.77+3414</f>
        <v>3846.77</v>
      </c>
      <c r="W52" s="35"/>
      <c r="X52" s="35"/>
      <c r="Y52" s="35"/>
    </row>
    <row r="53" spans="1:25" ht="15.75" customHeight="1" x14ac:dyDescent="0.25">
      <c r="A53" s="13" t="s">
        <v>379</v>
      </c>
      <c r="B53" s="33">
        <v>253335</v>
      </c>
      <c r="C53" s="35">
        <f t="shared" si="0"/>
        <v>80218.601999999999</v>
      </c>
      <c r="D53" s="35"/>
      <c r="E53" s="35"/>
      <c r="F53" s="35"/>
      <c r="G53" s="35"/>
      <c r="H53" s="35"/>
      <c r="I53" s="35"/>
      <c r="J53" s="35">
        <v>4350.8900000000003</v>
      </c>
      <c r="K53" s="35">
        <v>24847.599999999999</v>
      </c>
      <c r="L53" s="35">
        <v>9681.0300000000007</v>
      </c>
      <c r="M53" s="35"/>
      <c r="N53" s="35">
        <v>1558.3119999999999</v>
      </c>
      <c r="O53" s="35"/>
      <c r="P53" s="35"/>
      <c r="Q53" s="35">
        <v>38479</v>
      </c>
      <c r="R53" s="35"/>
      <c r="S53" s="35"/>
      <c r="T53" s="35"/>
      <c r="U53" s="35"/>
      <c r="V53" s="36">
        <f>432.77+869</f>
        <v>1301.77</v>
      </c>
      <c r="W53" s="35"/>
      <c r="X53" s="35"/>
      <c r="Y53" s="35"/>
    </row>
    <row r="54" spans="1:25" s="7" customFormat="1" ht="15.75" customHeight="1" x14ac:dyDescent="0.25">
      <c r="A54" s="13" t="s">
        <v>380</v>
      </c>
      <c r="B54" s="33">
        <v>85328.639999999999</v>
      </c>
      <c r="C54" s="35">
        <f t="shared" si="0"/>
        <v>192099.19399999999</v>
      </c>
      <c r="D54" s="35"/>
      <c r="E54" s="35"/>
      <c r="F54" s="35"/>
      <c r="G54" s="35"/>
      <c r="H54" s="35"/>
      <c r="I54" s="35"/>
      <c r="J54" s="35">
        <v>4582</v>
      </c>
      <c r="K54" s="35"/>
      <c r="L54" s="35">
        <f>3767.69+22684.4</f>
        <v>26452.09</v>
      </c>
      <c r="M54" s="35"/>
      <c r="N54" s="35">
        <f>583.66+779.154</f>
        <v>1362.8139999999999</v>
      </c>
      <c r="O54" s="35"/>
      <c r="P54" s="35"/>
      <c r="Q54" s="35"/>
      <c r="R54" s="35"/>
      <c r="S54" s="35"/>
      <c r="T54" s="35"/>
      <c r="U54" s="35"/>
      <c r="V54" s="36">
        <f>432.77+869</f>
        <v>1301.77</v>
      </c>
      <c r="W54" s="35"/>
      <c r="X54" s="35">
        <v>158400.51999999999</v>
      </c>
      <c r="Y54" s="35"/>
    </row>
    <row r="55" spans="1:25" s="7" customFormat="1" ht="15.75" customHeight="1" x14ac:dyDescent="0.35">
      <c r="A55" s="13" t="s">
        <v>381</v>
      </c>
      <c r="B55" s="33">
        <v>552041.88</v>
      </c>
      <c r="C55" s="35">
        <f t="shared" si="0"/>
        <v>759863.76300000004</v>
      </c>
      <c r="D55" s="35"/>
      <c r="E55" s="35"/>
      <c r="F55" s="35"/>
      <c r="G55" s="35"/>
      <c r="H55" s="35">
        <v>121079</v>
      </c>
      <c r="I55" s="35"/>
      <c r="J55" s="35">
        <f>7519.09+16315</f>
        <v>23834.09</v>
      </c>
      <c r="K55" s="35">
        <v>376.47899999999998</v>
      </c>
      <c r="L55" s="35">
        <v>11501.5</v>
      </c>
      <c r="M55" s="35"/>
      <c r="N55" s="35"/>
      <c r="O55" s="35">
        <v>5781.4340000000002</v>
      </c>
      <c r="P55" s="35"/>
      <c r="Q55" s="35">
        <f>165652+71794.52</f>
        <v>237446.52000000002</v>
      </c>
      <c r="R55" s="35">
        <v>7075</v>
      </c>
      <c r="S55" s="35">
        <f>24357+2208.77+4192</f>
        <v>30757.77</v>
      </c>
      <c r="T55" s="35"/>
      <c r="U55" s="35">
        <v>3082.16</v>
      </c>
      <c r="V55" s="36">
        <f>432.77+1080</f>
        <v>1512.77</v>
      </c>
      <c r="W55" s="35"/>
      <c r="X55" s="35">
        <v>317417.03999999998</v>
      </c>
      <c r="Y55" s="35"/>
    </row>
    <row r="56" spans="1:25" s="56" customFormat="1" ht="15.75" customHeight="1" x14ac:dyDescent="0.25">
      <c r="A56" s="13" t="s">
        <v>382</v>
      </c>
      <c r="B56" s="33">
        <v>207940.56</v>
      </c>
      <c r="C56" s="35">
        <f t="shared" si="0"/>
        <v>153962.85999999999</v>
      </c>
      <c r="D56" s="35"/>
      <c r="E56" s="35"/>
      <c r="F56" s="35"/>
      <c r="G56" s="35">
        <v>3910.28</v>
      </c>
      <c r="H56" s="35"/>
      <c r="I56" s="35"/>
      <c r="J56" s="35">
        <v>4208</v>
      </c>
      <c r="K56" s="35">
        <f>752.95+1129.43</f>
        <v>1882.38</v>
      </c>
      <c r="L56" s="35"/>
      <c r="M56" s="35"/>
      <c r="N56" s="35">
        <v>8269</v>
      </c>
      <c r="O56" s="35"/>
      <c r="P56" s="35"/>
      <c r="Q56" s="35">
        <f>7924.01</f>
        <v>7924.01</v>
      </c>
      <c r="R56" s="35"/>
      <c r="S56" s="35"/>
      <c r="T56" s="35"/>
      <c r="U56" s="35"/>
      <c r="V56" s="36">
        <v>432.77</v>
      </c>
      <c r="W56" s="35"/>
      <c r="X56" s="35">
        <v>127336.42</v>
      </c>
      <c r="Y56" s="35"/>
    </row>
    <row r="57" spans="1:25" s="7" customFormat="1" ht="15.75" customHeight="1" x14ac:dyDescent="0.25">
      <c r="A57" s="13" t="s">
        <v>383</v>
      </c>
      <c r="B57" s="33">
        <v>58974</v>
      </c>
      <c r="C57" s="35">
        <f t="shared" si="0"/>
        <v>179507.26400000002</v>
      </c>
      <c r="D57" s="35"/>
      <c r="E57" s="35"/>
      <c r="F57" s="35"/>
      <c r="G57" s="35"/>
      <c r="H57" s="35"/>
      <c r="I57" s="35"/>
      <c r="J57" s="35">
        <v>2601</v>
      </c>
      <c r="K57" s="35"/>
      <c r="L57" s="35">
        <v>18989.900000000001</v>
      </c>
      <c r="M57" s="35"/>
      <c r="N57" s="35"/>
      <c r="O57" s="35"/>
      <c r="P57" s="35"/>
      <c r="Q57" s="35">
        <f>35822.35+11283.35</f>
        <v>47105.7</v>
      </c>
      <c r="R57" s="35"/>
      <c r="S57" s="35"/>
      <c r="T57" s="35">
        <v>496.10700000000003</v>
      </c>
      <c r="U57" s="35">
        <v>244.43700000000001</v>
      </c>
      <c r="V57" s="36">
        <f>432.77+869</f>
        <v>1301.77</v>
      </c>
      <c r="W57" s="35"/>
      <c r="X57" s="35">
        <v>108768.35</v>
      </c>
      <c r="Y57" s="35"/>
    </row>
    <row r="58" spans="1:25" ht="15.75" customHeight="1" x14ac:dyDescent="0.25">
      <c r="A58" s="13" t="s">
        <v>384</v>
      </c>
      <c r="B58" s="33">
        <v>227161.24</v>
      </c>
      <c r="C58" s="35">
        <f t="shared" si="0"/>
        <v>230203.07500000001</v>
      </c>
      <c r="D58" s="35"/>
      <c r="E58" s="35"/>
      <c r="F58" s="35"/>
      <c r="G58" s="35">
        <v>10981.9</v>
      </c>
      <c r="H58" s="35"/>
      <c r="I58" s="35"/>
      <c r="J58" s="35">
        <f>3771.03+7446</f>
        <v>11217.03</v>
      </c>
      <c r="K58" s="35">
        <f>376.479+376.479+933.38</f>
        <v>1686.338</v>
      </c>
      <c r="L58" s="35"/>
      <c r="M58" s="35"/>
      <c r="N58" s="35"/>
      <c r="O58" s="35"/>
      <c r="P58" s="35"/>
      <c r="Q58" s="35">
        <f>6909.78+8300.214+1589.023+18636.82</f>
        <v>35435.837</v>
      </c>
      <c r="R58" s="35"/>
      <c r="S58" s="35">
        <v>3398.66</v>
      </c>
      <c r="T58" s="35"/>
      <c r="U58" s="35"/>
      <c r="V58" s="36">
        <f>432.77+1170</f>
        <v>1602.77</v>
      </c>
      <c r="W58" s="35"/>
      <c r="X58" s="35">
        <v>165880.54</v>
      </c>
      <c r="Y58" s="35"/>
    </row>
    <row r="59" spans="1:25" s="7" customFormat="1" ht="15.75" customHeight="1" x14ac:dyDescent="0.25">
      <c r="A59" s="13" t="s">
        <v>385</v>
      </c>
      <c r="B59" s="33">
        <v>144634.79999999999</v>
      </c>
      <c r="C59" s="35">
        <f t="shared" si="0"/>
        <v>13096.205000000002</v>
      </c>
      <c r="D59" s="35"/>
      <c r="E59" s="35"/>
      <c r="F59" s="35"/>
      <c r="G59" s="35"/>
      <c r="H59" s="35"/>
      <c r="I59" s="35"/>
      <c r="J59" s="35">
        <v>2508</v>
      </c>
      <c r="K59" s="35"/>
      <c r="L59" s="35">
        <v>3403.96</v>
      </c>
      <c r="M59" s="35"/>
      <c r="N59" s="35">
        <v>1095.241</v>
      </c>
      <c r="O59" s="35"/>
      <c r="P59" s="35"/>
      <c r="Q59" s="35">
        <v>3601.56</v>
      </c>
      <c r="R59" s="35"/>
      <c r="S59" s="35">
        <v>315</v>
      </c>
      <c r="T59" s="35">
        <v>496.10700000000003</v>
      </c>
      <c r="U59" s="35">
        <v>374.56700000000001</v>
      </c>
      <c r="V59" s="36">
        <f>432.77+869</f>
        <v>1301.77</v>
      </c>
      <c r="W59" s="35"/>
      <c r="X59" s="35"/>
      <c r="Y59" s="35"/>
    </row>
    <row r="60" spans="1:25" s="7" customFormat="1" ht="15.75" customHeight="1" x14ac:dyDescent="0.25">
      <c r="A60" s="13" t="s">
        <v>374</v>
      </c>
      <c r="B60" s="33">
        <v>165147</v>
      </c>
      <c r="C60" s="35">
        <f t="shared" si="0"/>
        <v>146199.77899999998</v>
      </c>
      <c r="D60" s="35"/>
      <c r="E60" s="35"/>
      <c r="F60" s="35"/>
      <c r="G60" s="35"/>
      <c r="H60" s="35"/>
      <c r="I60" s="35"/>
      <c r="J60" s="35">
        <v>7046</v>
      </c>
      <c r="K60" s="35"/>
      <c r="L60" s="35"/>
      <c r="M60" s="35"/>
      <c r="N60" s="35"/>
      <c r="O60" s="35"/>
      <c r="P60" s="35"/>
      <c r="Q60" s="35"/>
      <c r="R60" s="35"/>
      <c r="S60" s="35">
        <v>4556.74</v>
      </c>
      <c r="T60" s="35">
        <v>496.10700000000003</v>
      </c>
      <c r="U60" s="35">
        <v>358.73200000000003</v>
      </c>
      <c r="V60" s="36">
        <f>432.77+869</f>
        <v>1301.77</v>
      </c>
      <c r="W60" s="35"/>
      <c r="X60" s="35">
        <v>132440.43</v>
      </c>
      <c r="Y60" s="35"/>
    </row>
    <row r="61" spans="1:25" s="7" customFormat="1" ht="15.75" customHeight="1" x14ac:dyDescent="0.25">
      <c r="A61" s="13" t="s">
        <v>373</v>
      </c>
      <c r="B61" s="33">
        <v>83050.559999999998</v>
      </c>
      <c r="C61" s="35">
        <f t="shared" si="0"/>
        <v>25563.829999999998</v>
      </c>
      <c r="D61" s="35"/>
      <c r="E61" s="35"/>
      <c r="F61" s="35"/>
      <c r="G61" s="35"/>
      <c r="H61" s="35"/>
      <c r="I61" s="35"/>
      <c r="J61" s="35">
        <v>6661.76</v>
      </c>
      <c r="K61" s="35"/>
      <c r="L61" s="35"/>
      <c r="M61" s="35"/>
      <c r="N61" s="35"/>
      <c r="O61" s="35"/>
      <c r="P61" s="35"/>
      <c r="Q61" s="35">
        <f>10179.3+4795</f>
        <v>14974.3</v>
      </c>
      <c r="R61" s="35"/>
      <c r="S61" s="35">
        <v>2059</v>
      </c>
      <c r="T61" s="35">
        <v>1436</v>
      </c>
      <c r="U61" s="35"/>
      <c r="V61" s="36">
        <v>432.77</v>
      </c>
      <c r="W61" s="35"/>
      <c r="X61" s="35"/>
      <c r="Y61" s="35"/>
    </row>
    <row r="62" spans="1:25" s="56" customFormat="1" ht="15.75" customHeight="1" x14ac:dyDescent="0.25">
      <c r="A62" s="13" t="s">
        <v>372</v>
      </c>
      <c r="B62" s="33">
        <v>219204.12</v>
      </c>
      <c r="C62" s="35">
        <f t="shared" si="0"/>
        <v>247126.989</v>
      </c>
      <c r="D62" s="35"/>
      <c r="E62" s="35"/>
      <c r="F62" s="35"/>
      <c r="G62" s="35">
        <v>767.3</v>
      </c>
      <c r="H62" s="35"/>
      <c r="I62" s="35"/>
      <c r="J62" s="35">
        <v>1859.92</v>
      </c>
      <c r="K62" s="35">
        <f>5335.55+11280</f>
        <v>16615.55</v>
      </c>
      <c r="L62" s="35">
        <v>3403.96</v>
      </c>
      <c r="M62" s="35"/>
      <c r="N62" s="35"/>
      <c r="O62" s="35"/>
      <c r="P62" s="35"/>
      <c r="Q62" s="35">
        <v>24323</v>
      </c>
      <c r="R62" s="35"/>
      <c r="S62" s="35"/>
      <c r="T62" s="35">
        <v>496.10700000000003</v>
      </c>
      <c r="U62" s="35">
        <v>358.73200000000003</v>
      </c>
      <c r="V62" s="36">
        <f>432.77+869</f>
        <v>1301.77</v>
      </c>
      <c r="W62" s="35"/>
      <c r="X62" s="35">
        <v>198000.65</v>
      </c>
      <c r="Y62" s="35"/>
    </row>
    <row r="63" spans="1:25" s="7" customFormat="1" ht="15.75" customHeight="1" x14ac:dyDescent="0.25">
      <c r="A63" s="13" t="s">
        <v>371</v>
      </c>
      <c r="B63" s="33">
        <v>95525.28</v>
      </c>
      <c r="C63" s="35">
        <f t="shared" si="0"/>
        <v>149060.9</v>
      </c>
      <c r="D63" s="35"/>
      <c r="E63" s="35"/>
      <c r="F63" s="35"/>
      <c r="G63" s="35">
        <v>1570.43</v>
      </c>
      <c r="H63" s="35"/>
      <c r="I63" s="35"/>
      <c r="J63" s="35"/>
      <c r="K63" s="35">
        <f>9071.27+41789.1</f>
        <v>50860.369999999995</v>
      </c>
      <c r="L63" s="35"/>
      <c r="M63" s="35"/>
      <c r="N63" s="35"/>
      <c r="O63" s="35"/>
      <c r="P63" s="35"/>
      <c r="Q63" s="35">
        <v>37984.495000000003</v>
      </c>
      <c r="R63" s="35"/>
      <c r="S63" s="35"/>
      <c r="T63" s="35">
        <v>496.10700000000003</v>
      </c>
      <c r="U63" s="35">
        <v>140.86799999999999</v>
      </c>
      <c r="V63" s="36">
        <f>432.77+1607.68</f>
        <v>2040.45</v>
      </c>
      <c r="W63" s="35"/>
      <c r="X63" s="35">
        <v>55968.18</v>
      </c>
      <c r="Y63" s="35"/>
    </row>
    <row r="64" spans="1:25" s="7" customFormat="1" ht="15.75" customHeight="1" x14ac:dyDescent="0.25">
      <c r="A64" s="13" t="s">
        <v>370</v>
      </c>
      <c r="B64" s="33">
        <v>115477.2</v>
      </c>
      <c r="C64" s="35">
        <f t="shared" si="0"/>
        <v>193987.13</v>
      </c>
      <c r="D64" s="35"/>
      <c r="E64" s="35"/>
      <c r="F64" s="35"/>
      <c r="G64" s="35"/>
      <c r="H64" s="35">
        <v>78496</v>
      </c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>
        <f>4943.02+3998</f>
        <v>8941.02</v>
      </c>
      <c r="T64" s="35"/>
      <c r="U64" s="35"/>
      <c r="V64" s="36">
        <f>432.77+869</f>
        <v>1301.77</v>
      </c>
      <c r="W64" s="35"/>
      <c r="X64" s="35">
        <v>105248.34</v>
      </c>
      <c r="Y64" s="35"/>
    </row>
    <row r="65" spans="1:25" ht="15.75" customHeight="1" x14ac:dyDescent="0.25">
      <c r="A65" s="13" t="s">
        <v>369</v>
      </c>
      <c r="B65" s="33">
        <v>228047.76</v>
      </c>
      <c r="C65" s="35">
        <f t="shared" si="0"/>
        <v>175065.27</v>
      </c>
      <c r="D65" s="35"/>
      <c r="E65" s="35"/>
      <c r="F65" s="35"/>
      <c r="G65" s="35"/>
      <c r="H65" s="35"/>
      <c r="I65" s="35"/>
      <c r="J65" s="35">
        <f>8527.66+1986</f>
        <v>10513.66</v>
      </c>
      <c r="K65" s="35"/>
      <c r="L65" s="35"/>
      <c r="M65" s="35"/>
      <c r="N65" s="35">
        <v>1251.71</v>
      </c>
      <c r="O65" s="35"/>
      <c r="P65" s="35"/>
      <c r="Q65" s="35"/>
      <c r="R65" s="35">
        <f>7076.66+9417</f>
        <v>16493.66</v>
      </c>
      <c r="S65" s="35"/>
      <c r="T65" s="35"/>
      <c r="U65" s="35"/>
      <c r="V65" s="36">
        <f>432.77+1701</f>
        <v>2133.77</v>
      </c>
      <c r="W65" s="35"/>
      <c r="X65" s="35">
        <v>144672.47</v>
      </c>
      <c r="Y65" s="35"/>
    </row>
    <row r="66" spans="1:25" ht="15.75" customHeight="1" x14ac:dyDescent="0.25">
      <c r="A66" s="13" t="s">
        <v>368</v>
      </c>
      <c r="B66" s="33">
        <v>32529</v>
      </c>
      <c r="C66" s="35">
        <f t="shared" si="0"/>
        <v>45616.909999999996</v>
      </c>
      <c r="D66" s="35"/>
      <c r="E66" s="35"/>
      <c r="F66" s="35"/>
      <c r="G66" s="35"/>
      <c r="H66" s="35"/>
      <c r="I66" s="35"/>
      <c r="J66" s="35">
        <v>1371</v>
      </c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6">
        <f>432.77+869</f>
        <v>1301.77</v>
      </c>
      <c r="W66" s="35"/>
      <c r="X66" s="35">
        <v>42944.14</v>
      </c>
      <c r="Y66" s="35"/>
    </row>
    <row r="67" spans="1:25" s="7" customFormat="1" ht="15.75" customHeight="1" x14ac:dyDescent="0.25">
      <c r="A67" s="13" t="s">
        <v>367</v>
      </c>
      <c r="B67" s="33">
        <v>97627.44</v>
      </c>
      <c r="C67" s="35">
        <f t="shared" si="0"/>
        <v>99700.3</v>
      </c>
      <c r="D67" s="35"/>
      <c r="E67" s="35"/>
      <c r="F67" s="35"/>
      <c r="G67" s="35"/>
      <c r="H67" s="35"/>
      <c r="I67" s="35"/>
      <c r="J67" s="35">
        <v>1986</v>
      </c>
      <c r="K67" s="35"/>
      <c r="L67" s="35"/>
      <c r="M67" s="35"/>
      <c r="N67" s="35"/>
      <c r="O67" s="35"/>
      <c r="P67" s="35"/>
      <c r="Q67" s="35">
        <v>514</v>
      </c>
      <c r="R67" s="35"/>
      <c r="S67" s="35">
        <v>1379</v>
      </c>
      <c r="T67" s="35"/>
      <c r="U67" s="35"/>
      <c r="V67" s="36">
        <f>869</f>
        <v>869</v>
      </c>
      <c r="W67" s="35"/>
      <c r="X67" s="35">
        <v>94952.3</v>
      </c>
      <c r="Y67" s="35"/>
    </row>
    <row r="68" spans="1:25" ht="15.75" customHeight="1" x14ac:dyDescent="0.25">
      <c r="A68" s="12" t="s">
        <v>366</v>
      </c>
      <c r="B68" s="33">
        <v>59029.93</v>
      </c>
      <c r="C68" s="35">
        <f t="shared" si="0"/>
        <v>0</v>
      </c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6"/>
      <c r="W68" s="35"/>
      <c r="X68" s="35"/>
      <c r="Y68" s="35"/>
    </row>
    <row r="69" spans="1:25" ht="15.75" customHeight="1" x14ac:dyDescent="0.25">
      <c r="A69" s="12" t="s">
        <v>365</v>
      </c>
      <c r="B69" s="33">
        <v>34042.949999999997</v>
      </c>
      <c r="C69" s="35">
        <f t="shared" si="0"/>
        <v>22459.11</v>
      </c>
      <c r="D69" s="35"/>
      <c r="E69" s="35"/>
      <c r="F69" s="35"/>
      <c r="G69" s="35"/>
      <c r="H69" s="35"/>
      <c r="I69" s="35"/>
      <c r="J69" s="35"/>
      <c r="K69" s="35">
        <v>302</v>
      </c>
      <c r="L69" s="35"/>
      <c r="M69" s="35"/>
      <c r="N69" s="35"/>
      <c r="O69" s="35"/>
      <c r="P69" s="35"/>
      <c r="Q69" s="35"/>
      <c r="R69" s="35"/>
      <c r="S69" s="35"/>
      <c r="T69" s="35">
        <v>1684.13</v>
      </c>
      <c r="U69" s="35">
        <f>2640.98+17832</f>
        <v>20472.98</v>
      </c>
      <c r="V69" s="36"/>
      <c r="W69" s="35"/>
      <c r="X69" s="35"/>
      <c r="Y69" s="35"/>
    </row>
    <row r="70" spans="1:25" ht="15.75" customHeight="1" x14ac:dyDescent="0.25">
      <c r="A70" s="12" t="s">
        <v>364</v>
      </c>
      <c r="B70" s="33">
        <v>24970.66</v>
      </c>
      <c r="C70" s="35">
        <f t="shared" si="0"/>
        <v>31102.52</v>
      </c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>
        <v>390.41</v>
      </c>
      <c r="V70" s="36"/>
      <c r="W70" s="35"/>
      <c r="X70" s="35">
        <v>30712.11</v>
      </c>
      <c r="Y70" s="35"/>
    </row>
    <row r="71" spans="1:25" ht="15.75" customHeight="1" x14ac:dyDescent="0.25">
      <c r="A71" s="12" t="s">
        <v>363</v>
      </c>
      <c r="B71" s="33">
        <v>45249.59</v>
      </c>
      <c r="C71" s="35">
        <f t="shared" si="0"/>
        <v>59542.99</v>
      </c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>
        <v>3899.72</v>
      </c>
      <c r="R71" s="35"/>
      <c r="S71" s="35">
        <v>1699.1</v>
      </c>
      <c r="T71" s="35"/>
      <c r="U71" s="35"/>
      <c r="V71" s="36"/>
      <c r="W71" s="35"/>
      <c r="X71" s="35">
        <v>53944.17</v>
      </c>
      <c r="Y71" s="35"/>
    </row>
    <row r="72" spans="1:25" ht="15.75" customHeight="1" x14ac:dyDescent="0.25">
      <c r="A72" s="12" t="s">
        <v>362</v>
      </c>
      <c r="B72" s="33">
        <v>34915.78</v>
      </c>
      <c r="C72" s="35">
        <f t="shared" si="0"/>
        <v>28439.9</v>
      </c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>
        <v>1159.81</v>
      </c>
      <c r="U72" s="35"/>
      <c r="V72" s="36"/>
      <c r="W72" s="35"/>
      <c r="X72" s="35">
        <v>27280.09</v>
      </c>
      <c r="Y72" s="35"/>
    </row>
    <row r="73" spans="1:25" ht="15.75" customHeight="1" x14ac:dyDescent="0.25">
      <c r="A73" s="12" t="s">
        <v>361</v>
      </c>
      <c r="B73" s="33">
        <v>102098.44</v>
      </c>
      <c r="C73" s="35">
        <f t="shared" si="0"/>
        <v>5442.49</v>
      </c>
      <c r="D73" s="35"/>
      <c r="E73" s="35"/>
      <c r="F73" s="35"/>
      <c r="G73" s="35"/>
      <c r="H73" s="35"/>
      <c r="I73" s="35"/>
      <c r="J73" s="35">
        <v>3049.49</v>
      </c>
      <c r="K73" s="35"/>
      <c r="L73" s="35">
        <v>2393</v>
      </c>
      <c r="M73" s="35"/>
      <c r="N73" s="35"/>
      <c r="O73" s="35"/>
      <c r="P73" s="35"/>
      <c r="Q73" s="35"/>
      <c r="R73" s="35"/>
      <c r="S73" s="35"/>
      <c r="T73" s="35"/>
      <c r="U73" s="35"/>
      <c r="V73" s="36"/>
      <c r="W73" s="35"/>
      <c r="X73" s="35"/>
      <c r="Y73" s="35"/>
    </row>
    <row r="74" spans="1:25" ht="15.75" customHeight="1" x14ac:dyDescent="0.25">
      <c r="A74" s="12" t="s">
        <v>360</v>
      </c>
      <c r="B74" s="33">
        <v>103675.76</v>
      </c>
      <c r="C74" s="35">
        <f t="shared" si="0"/>
        <v>53185.36</v>
      </c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>
        <v>6633.2</v>
      </c>
      <c r="R74" s="35"/>
      <c r="S74" s="35"/>
      <c r="T74" s="35"/>
      <c r="U74" s="35"/>
      <c r="V74" s="36"/>
      <c r="W74" s="35"/>
      <c r="X74" s="35">
        <v>46552.160000000003</v>
      </c>
      <c r="Y74" s="35"/>
    </row>
    <row r="75" spans="1:25" ht="15.75" customHeight="1" x14ac:dyDescent="0.25">
      <c r="A75" s="12" t="s">
        <v>359</v>
      </c>
      <c r="B75" s="33">
        <v>59067.6</v>
      </c>
      <c r="C75" s="35">
        <f t="shared" si="0"/>
        <v>8102.93</v>
      </c>
      <c r="D75" s="35"/>
      <c r="E75" s="35"/>
      <c r="F75" s="35"/>
      <c r="G75" s="35"/>
      <c r="H75" s="35"/>
      <c r="I75" s="35"/>
      <c r="J75" s="35"/>
      <c r="K75" s="35"/>
      <c r="L75" s="35">
        <v>1402.49</v>
      </c>
      <c r="M75" s="35"/>
      <c r="N75" s="35">
        <v>919.01</v>
      </c>
      <c r="O75" s="35">
        <v>5781.43</v>
      </c>
      <c r="P75" s="35"/>
      <c r="Q75" s="35"/>
      <c r="R75" s="35"/>
      <c r="S75" s="35"/>
      <c r="T75" s="35"/>
      <c r="U75" s="35"/>
      <c r="V75" s="36"/>
      <c r="W75" s="35"/>
      <c r="X75" s="35"/>
      <c r="Y75" s="35"/>
    </row>
    <row r="76" spans="1:25" ht="15.75" customHeight="1" x14ac:dyDescent="0.25">
      <c r="A76" s="12" t="s">
        <v>358</v>
      </c>
      <c r="B76" s="33">
        <v>22425.3</v>
      </c>
      <c r="C76" s="35">
        <f t="shared" si="0"/>
        <v>67161.34</v>
      </c>
      <c r="D76" s="35"/>
      <c r="E76" s="35"/>
      <c r="F76" s="35"/>
      <c r="G76" s="35"/>
      <c r="H76" s="35"/>
      <c r="I76" s="35"/>
      <c r="J76" s="35">
        <v>2066.36</v>
      </c>
      <c r="K76" s="35"/>
      <c r="L76" s="35"/>
      <c r="M76" s="35"/>
      <c r="N76" s="35"/>
      <c r="O76" s="35"/>
      <c r="P76" s="35"/>
      <c r="Q76" s="35"/>
      <c r="R76" s="35">
        <v>1812</v>
      </c>
      <c r="S76" s="35">
        <v>731.01</v>
      </c>
      <c r="T76" s="35">
        <v>1391.77</v>
      </c>
      <c r="U76" s="35"/>
      <c r="V76" s="36"/>
      <c r="W76" s="35"/>
      <c r="X76" s="35">
        <v>61160.2</v>
      </c>
      <c r="Y76" s="35"/>
    </row>
    <row r="77" spans="1:25" ht="15.75" customHeight="1" x14ac:dyDescent="0.25">
      <c r="A77" s="12" t="s">
        <v>357</v>
      </c>
      <c r="B77" s="33">
        <v>94463.22</v>
      </c>
      <c r="C77" s="35">
        <f t="shared" si="0"/>
        <v>83413.850000000006</v>
      </c>
      <c r="D77" s="35"/>
      <c r="E77" s="35"/>
      <c r="F77" s="35"/>
      <c r="G77" s="35"/>
      <c r="H77" s="35"/>
      <c r="I77" s="35"/>
      <c r="J77" s="35">
        <v>2018</v>
      </c>
      <c r="K77" s="35"/>
      <c r="L77" s="35"/>
      <c r="M77" s="35"/>
      <c r="N77" s="35"/>
      <c r="O77" s="35"/>
      <c r="P77" s="35"/>
      <c r="Q77" s="35"/>
      <c r="R77" s="35"/>
      <c r="S77" s="35"/>
      <c r="T77" s="35">
        <f>1159.81+1361</f>
        <v>2520.81</v>
      </c>
      <c r="U77" s="35">
        <v>1434.79</v>
      </c>
      <c r="V77" s="36"/>
      <c r="W77" s="35"/>
      <c r="X77" s="35">
        <v>77440.25</v>
      </c>
      <c r="Y77" s="35"/>
    </row>
    <row r="78" spans="1:25" ht="15.75" customHeight="1" x14ac:dyDescent="0.25">
      <c r="A78" s="12" t="s">
        <v>356</v>
      </c>
      <c r="B78" s="33">
        <v>35563.96</v>
      </c>
      <c r="C78" s="35">
        <f t="shared" si="0"/>
        <v>0</v>
      </c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6"/>
      <c r="W78" s="35"/>
      <c r="X78" s="35"/>
      <c r="Y78" s="35"/>
    </row>
    <row r="79" spans="1:25" ht="15.75" customHeight="1" x14ac:dyDescent="0.25">
      <c r="A79" s="12" t="s">
        <v>355</v>
      </c>
      <c r="B79" s="33">
        <v>99885.69</v>
      </c>
      <c r="C79" s="35">
        <f t="shared" ref="C79:C142" si="1">D79+E79+G79+H79+I79+J79+K79+L79+N79+O79+P79+Q79+R79+S79+T79+U79+V79+W79+X79+Y79+F79</f>
        <v>120506.84000000001</v>
      </c>
      <c r="D79" s="35"/>
      <c r="E79" s="35"/>
      <c r="F79" s="35"/>
      <c r="G79" s="35"/>
      <c r="H79" s="35">
        <v>80553</v>
      </c>
      <c r="I79" s="35"/>
      <c r="J79" s="35"/>
      <c r="K79" s="35"/>
      <c r="L79" s="35">
        <v>1795</v>
      </c>
      <c r="M79" s="35"/>
      <c r="N79" s="35"/>
      <c r="O79" s="35"/>
      <c r="P79" s="35"/>
      <c r="Q79" s="35"/>
      <c r="R79" s="35"/>
      <c r="S79" s="35"/>
      <c r="T79" s="35"/>
      <c r="U79" s="35">
        <v>37293.32</v>
      </c>
      <c r="V79" s="36">
        <v>865.52</v>
      </c>
      <c r="W79" s="35"/>
      <c r="X79" s="35"/>
      <c r="Y79" s="35"/>
    </row>
    <row r="80" spans="1:25" s="7" customFormat="1" ht="15.75" customHeight="1" x14ac:dyDescent="0.25">
      <c r="A80" s="12" t="s">
        <v>354</v>
      </c>
      <c r="B80" s="33">
        <v>269655.34000000003</v>
      </c>
      <c r="C80" s="35">
        <f t="shared" si="1"/>
        <v>48703.4</v>
      </c>
      <c r="D80" s="35"/>
      <c r="E80" s="35"/>
      <c r="F80" s="35"/>
      <c r="G80" s="35"/>
      <c r="H80" s="35"/>
      <c r="I80" s="35"/>
      <c r="J80" s="35">
        <v>1236.94</v>
      </c>
      <c r="K80" s="35"/>
      <c r="L80" s="35"/>
      <c r="M80" s="35"/>
      <c r="N80" s="35">
        <v>11318.16</v>
      </c>
      <c r="O80" s="35">
        <v>13750.67</v>
      </c>
      <c r="P80" s="35"/>
      <c r="Q80" s="35">
        <v>20982.11</v>
      </c>
      <c r="R80" s="35"/>
      <c r="S80" s="35"/>
      <c r="T80" s="35"/>
      <c r="U80" s="35">
        <v>550</v>
      </c>
      <c r="V80" s="36">
        <v>865.52</v>
      </c>
      <c r="W80" s="35"/>
      <c r="X80" s="35"/>
      <c r="Y80" s="35"/>
    </row>
    <row r="81" spans="1:25" s="7" customFormat="1" ht="15.75" customHeight="1" x14ac:dyDescent="0.25">
      <c r="A81" s="12" t="s">
        <v>353</v>
      </c>
      <c r="B81" s="33">
        <v>270371.61</v>
      </c>
      <c r="C81" s="35">
        <f t="shared" si="1"/>
        <v>70028.736000000004</v>
      </c>
      <c r="D81" s="35"/>
      <c r="E81" s="35"/>
      <c r="F81" s="35"/>
      <c r="G81" s="35"/>
      <c r="H81" s="35"/>
      <c r="I81" s="35"/>
      <c r="J81" s="35">
        <f>1306+1505.49</f>
        <v>2811.49</v>
      </c>
      <c r="K81" s="35">
        <v>376.48</v>
      </c>
      <c r="L81" s="35"/>
      <c r="M81" s="35"/>
      <c r="N81" s="35">
        <v>2621</v>
      </c>
      <c r="O81" s="35"/>
      <c r="P81" s="35"/>
      <c r="Q81" s="35">
        <f>8613.47+2321.166+3410+5894.9</f>
        <v>20239.536</v>
      </c>
      <c r="R81" s="35"/>
      <c r="S81" s="35"/>
      <c r="T81" s="35">
        <v>2523</v>
      </c>
      <c r="U81" s="35">
        <v>40591.71</v>
      </c>
      <c r="V81" s="36">
        <v>865.52</v>
      </c>
      <c r="W81" s="35"/>
      <c r="X81" s="35"/>
      <c r="Y81" s="35"/>
    </row>
    <row r="82" spans="1:25" s="7" customFormat="1" ht="15.75" customHeight="1" x14ac:dyDescent="0.25">
      <c r="A82" s="12" t="s">
        <v>352</v>
      </c>
      <c r="B82" s="33">
        <v>325864.71999999997</v>
      </c>
      <c r="C82" s="35">
        <f>D82+E82+G82+H82+I82+J82+K82+L82+N82+O82+P82+Q82+R82+S82+T82+U82+V82+W82+X82+Y82+F82+M82</f>
        <v>126343.827</v>
      </c>
      <c r="D82" s="35"/>
      <c r="E82" s="35"/>
      <c r="F82" s="35"/>
      <c r="G82" s="35">
        <f>95315.04+1230+2217.22</f>
        <v>98762.26</v>
      </c>
      <c r="H82" s="35"/>
      <c r="I82" s="35"/>
      <c r="J82" s="35">
        <f>1517.26+1130.44</f>
        <v>2647.7</v>
      </c>
      <c r="K82" s="35"/>
      <c r="L82" s="35"/>
      <c r="M82" s="35">
        <v>16834.41</v>
      </c>
      <c r="N82" s="35"/>
      <c r="O82" s="35"/>
      <c r="P82" s="35"/>
      <c r="Q82" s="35"/>
      <c r="R82" s="35"/>
      <c r="S82" s="35"/>
      <c r="T82" s="35">
        <f>114.755+1000.86</f>
        <v>1115.615</v>
      </c>
      <c r="U82" s="35">
        <f>6634.35+349.492</f>
        <v>6983.8420000000006</v>
      </c>
      <c r="V82" s="36"/>
      <c r="W82" s="35"/>
      <c r="X82" s="35"/>
      <c r="Y82" s="35"/>
    </row>
    <row r="83" spans="1:25" s="7" customFormat="1" ht="15.75" customHeight="1" x14ac:dyDescent="0.25">
      <c r="A83" s="13" t="s">
        <v>351</v>
      </c>
      <c r="B83" s="33">
        <v>176999.04000000001</v>
      </c>
      <c r="C83" s="35">
        <f t="shared" si="1"/>
        <v>57570.58</v>
      </c>
      <c r="D83" s="35"/>
      <c r="E83" s="35"/>
      <c r="F83" s="35"/>
      <c r="G83" s="35"/>
      <c r="H83" s="35"/>
      <c r="I83" s="35"/>
      <c r="J83" s="35">
        <f>25940.4+5238</f>
        <v>31178.400000000001</v>
      </c>
      <c r="K83" s="35">
        <f>376.48+376.48+19814</f>
        <v>20566.96</v>
      </c>
      <c r="L83" s="35"/>
      <c r="M83" s="35"/>
      <c r="N83" s="35"/>
      <c r="O83" s="35"/>
      <c r="P83" s="35"/>
      <c r="Q83" s="35"/>
      <c r="R83" s="35"/>
      <c r="S83" s="35"/>
      <c r="T83" s="35"/>
      <c r="U83" s="35">
        <v>5825.22</v>
      </c>
      <c r="V83" s="36"/>
      <c r="W83" s="35"/>
      <c r="X83" s="35"/>
      <c r="Y83" s="35"/>
    </row>
    <row r="84" spans="1:25" s="7" customFormat="1" ht="15.75" customHeight="1" x14ac:dyDescent="0.25">
      <c r="A84" s="13" t="s">
        <v>350</v>
      </c>
      <c r="B84" s="33">
        <v>174312.72</v>
      </c>
      <c r="C84" s="35">
        <f t="shared" si="1"/>
        <v>40626.539999999994</v>
      </c>
      <c r="D84" s="35"/>
      <c r="E84" s="35"/>
      <c r="F84" s="35"/>
      <c r="G84" s="35">
        <v>2555.09</v>
      </c>
      <c r="H84" s="35"/>
      <c r="I84" s="35"/>
      <c r="J84" s="35"/>
      <c r="K84" s="35">
        <v>376.48</v>
      </c>
      <c r="L84" s="35">
        <f>160.07+8497.14</f>
        <v>8657.2099999999991</v>
      </c>
      <c r="M84" s="35"/>
      <c r="N84" s="35"/>
      <c r="O84" s="35">
        <v>1101</v>
      </c>
      <c r="P84" s="35"/>
      <c r="Q84" s="35">
        <v>889.3</v>
      </c>
      <c r="R84" s="35"/>
      <c r="S84" s="35"/>
      <c r="T84" s="35"/>
      <c r="U84" s="35"/>
      <c r="V84" s="36"/>
      <c r="W84" s="35">
        <v>27047.46</v>
      </c>
      <c r="X84" s="35"/>
      <c r="Y84" s="35"/>
    </row>
    <row r="85" spans="1:25" s="7" customFormat="1" ht="15.75" customHeight="1" x14ac:dyDescent="0.25">
      <c r="A85" s="13" t="s">
        <v>1</v>
      </c>
      <c r="B85" s="33">
        <v>52073.88</v>
      </c>
      <c r="C85" s="35">
        <f t="shared" si="1"/>
        <v>5801.07</v>
      </c>
      <c r="D85" s="35"/>
      <c r="E85" s="35"/>
      <c r="F85" s="35"/>
      <c r="G85" s="35"/>
      <c r="H85" s="35"/>
      <c r="I85" s="35"/>
      <c r="J85" s="35"/>
      <c r="K85" s="35"/>
      <c r="L85" s="35">
        <v>1139.05</v>
      </c>
      <c r="M85" s="35"/>
      <c r="N85" s="35"/>
      <c r="O85" s="35">
        <v>2921.02</v>
      </c>
      <c r="P85" s="35"/>
      <c r="Q85" s="35">
        <v>1741</v>
      </c>
      <c r="R85" s="35"/>
      <c r="S85" s="35"/>
      <c r="T85" s="35"/>
      <c r="U85" s="35"/>
      <c r="V85" s="36"/>
      <c r="W85" s="35"/>
      <c r="X85" s="35"/>
      <c r="Y85" s="35"/>
    </row>
    <row r="86" spans="1:25" ht="15.75" customHeight="1" x14ac:dyDescent="0.25">
      <c r="A86" s="13" t="s">
        <v>349</v>
      </c>
      <c r="B86" s="33">
        <v>73322.399999999994</v>
      </c>
      <c r="C86" s="35">
        <f t="shared" si="1"/>
        <v>765.63</v>
      </c>
      <c r="D86" s="35"/>
      <c r="E86" s="35"/>
      <c r="F86" s="35"/>
      <c r="G86" s="35"/>
      <c r="H86" s="35"/>
      <c r="I86" s="35"/>
      <c r="J86" s="35">
        <v>765.63</v>
      </c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6"/>
      <c r="W86" s="35"/>
      <c r="X86" s="35"/>
      <c r="Y86" s="35"/>
    </row>
    <row r="87" spans="1:25" s="7" customFormat="1" ht="15.75" customHeight="1" x14ac:dyDescent="0.25">
      <c r="A87" s="13" t="s">
        <v>348</v>
      </c>
      <c r="B87" s="33">
        <v>114970.56</v>
      </c>
      <c r="C87" s="35">
        <f t="shared" si="1"/>
        <v>9758.3770000000004</v>
      </c>
      <c r="D87" s="35"/>
      <c r="E87" s="35"/>
      <c r="F87" s="35"/>
      <c r="G87" s="35"/>
      <c r="H87" s="35"/>
      <c r="I87" s="35"/>
      <c r="J87" s="35">
        <v>3938.91</v>
      </c>
      <c r="K87" s="35"/>
      <c r="L87" s="35"/>
      <c r="M87" s="35"/>
      <c r="N87" s="35"/>
      <c r="O87" s="35"/>
      <c r="P87" s="35"/>
      <c r="Q87" s="35">
        <v>775</v>
      </c>
      <c r="R87" s="35"/>
      <c r="S87" s="35"/>
      <c r="T87" s="35"/>
      <c r="U87" s="35">
        <f>496.107+4189.63</f>
        <v>4685.7370000000001</v>
      </c>
      <c r="V87" s="36">
        <v>358.73</v>
      </c>
      <c r="W87" s="35"/>
      <c r="X87" s="35"/>
      <c r="Y87" s="35"/>
    </row>
    <row r="88" spans="1:25" ht="15.75" customHeight="1" x14ac:dyDescent="0.25">
      <c r="A88" s="13" t="s">
        <v>347</v>
      </c>
      <c r="B88" s="33">
        <v>146320.20000000001</v>
      </c>
      <c r="C88" s="35">
        <f t="shared" si="1"/>
        <v>14333.6</v>
      </c>
      <c r="D88" s="35"/>
      <c r="E88" s="35"/>
      <c r="F88" s="35"/>
      <c r="G88" s="35"/>
      <c r="H88" s="35"/>
      <c r="I88" s="35"/>
      <c r="J88" s="35"/>
      <c r="K88" s="35"/>
      <c r="L88" s="35">
        <v>7496</v>
      </c>
      <c r="M88" s="35"/>
      <c r="N88" s="35"/>
      <c r="O88" s="35"/>
      <c r="P88" s="35"/>
      <c r="Q88" s="35"/>
      <c r="R88" s="35"/>
      <c r="S88" s="35">
        <v>6837.6</v>
      </c>
      <c r="T88" s="35"/>
      <c r="U88" s="35"/>
      <c r="V88" s="36"/>
      <c r="W88" s="35"/>
      <c r="X88" s="35"/>
      <c r="Y88" s="35"/>
    </row>
    <row r="89" spans="1:25" s="7" customFormat="1" ht="15.75" customHeight="1" x14ac:dyDescent="0.25">
      <c r="A89" s="13" t="s">
        <v>346</v>
      </c>
      <c r="B89" s="33">
        <v>293923.8</v>
      </c>
      <c r="C89" s="35">
        <f t="shared" si="1"/>
        <v>19944.300000000003</v>
      </c>
      <c r="D89" s="35"/>
      <c r="E89" s="35"/>
      <c r="F89" s="35"/>
      <c r="G89" s="35"/>
      <c r="H89" s="35"/>
      <c r="I89" s="35"/>
      <c r="J89" s="35">
        <v>2947.36</v>
      </c>
      <c r="K89" s="35"/>
      <c r="L89" s="35"/>
      <c r="M89" s="35"/>
      <c r="N89" s="35"/>
      <c r="O89" s="35"/>
      <c r="P89" s="35"/>
      <c r="Q89" s="35">
        <v>6090</v>
      </c>
      <c r="R89" s="35"/>
      <c r="S89" s="35">
        <v>5879.09</v>
      </c>
      <c r="T89" s="35">
        <v>578.79</v>
      </c>
      <c r="U89" s="35">
        <v>2517.86</v>
      </c>
      <c r="V89" s="36">
        <v>1931.2</v>
      </c>
      <c r="W89" s="35"/>
      <c r="X89" s="35"/>
      <c r="Y89" s="35"/>
    </row>
    <row r="90" spans="1:25" ht="15.75" customHeight="1" x14ac:dyDescent="0.25">
      <c r="A90" s="13" t="s">
        <v>345</v>
      </c>
      <c r="B90" s="33">
        <v>81984.960000000006</v>
      </c>
      <c r="C90" s="35">
        <f t="shared" si="1"/>
        <v>43610.36</v>
      </c>
      <c r="D90" s="35"/>
      <c r="E90" s="35"/>
      <c r="F90" s="35"/>
      <c r="G90" s="35">
        <v>1315.36</v>
      </c>
      <c r="H90" s="35"/>
      <c r="I90" s="35"/>
      <c r="J90" s="35">
        <v>1608.34</v>
      </c>
      <c r="K90" s="35"/>
      <c r="L90" s="35"/>
      <c r="M90" s="35"/>
      <c r="N90" s="35"/>
      <c r="O90" s="35"/>
      <c r="P90" s="35"/>
      <c r="Q90" s="35">
        <f>1781+7975.62</f>
        <v>9756.619999999999</v>
      </c>
      <c r="R90" s="35">
        <v>24756.6</v>
      </c>
      <c r="S90" s="35">
        <v>2767.1</v>
      </c>
      <c r="T90" s="35">
        <v>1010.48</v>
      </c>
      <c r="U90" s="35">
        <v>2395.86</v>
      </c>
      <c r="V90" s="36"/>
      <c r="W90" s="35"/>
      <c r="X90" s="35"/>
      <c r="Y90" s="35"/>
    </row>
    <row r="91" spans="1:25" s="56" customFormat="1" ht="15.75" customHeight="1" x14ac:dyDescent="0.25">
      <c r="A91" s="13" t="s">
        <v>344</v>
      </c>
      <c r="B91" s="33">
        <v>302482.44</v>
      </c>
      <c r="C91" s="35">
        <f t="shared" si="1"/>
        <v>4962.87</v>
      </c>
      <c r="D91" s="35">
        <v>2828</v>
      </c>
      <c r="E91" s="35"/>
      <c r="F91" s="35"/>
      <c r="G91" s="35">
        <v>654.26</v>
      </c>
      <c r="H91" s="35"/>
      <c r="I91" s="35"/>
      <c r="J91" s="35">
        <f>109.61+1371</f>
        <v>1480.61</v>
      </c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6"/>
      <c r="W91" s="35"/>
      <c r="X91" s="35"/>
      <c r="Y91" s="35"/>
    </row>
    <row r="92" spans="1:25" s="7" customFormat="1" ht="15.75" customHeight="1" x14ac:dyDescent="0.25">
      <c r="A92" s="13" t="s">
        <v>343</v>
      </c>
      <c r="B92" s="33">
        <v>275429.76000000001</v>
      </c>
      <c r="C92" s="35">
        <f t="shared" si="1"/>
        <v>326073.88899999997</v>
      </c>
      <c r="D92" s="35">
        <v>6635.14</v>
      </c>
      <c r="E92" s="35"/>
      <c r="F92" s="35"/>
      <c r="G92" s="35">
        <v>25479.5</v>
      </c>
      <c r="H92" s="35"/>
      <c r="I92" s="35"/>
      <c r="J92" s="35">
        <f>6598.42+993.56</f>
        <v>7591.98</v>
      </c>
      <c r="K92" s="35">
        <v>752.94600000000003</v>
      </c>
      <c r="L92" s="35">
        <v>6807.9</v>
      </c>
      <c r="M92" s="35"/>
      <c r="N92" s="35"/>
      <c r="O92" s="35"/>
      <c r="P92" s="35"/>
      <c r="Q92" s="35">
        <f>14781.6+10343.08+751.259+1183.87+8530</f>
        <v>35589.808999999994</v>
      </c>
      <c r="R92" s="35"/>
      <c r="S92" s="35">
        <f>12421.33+2134</f>
        <v>14555.33</v>
      </c>
      <c r="T92" s="35">
        <v>496.10700000000003</v>
      </c>
      <c r="U92" s="35">
        <v>244.43700000000001</v>
      </c>
      <c r="V92" s="36"/>
      <c r="W92" s="35"/>
      <c r="X92" s="35">
        <v>227920.74</v>
      </c>
      <c r="Y92" s="35"/>
    </row>
    <row r="93" spans="1:25" ht="15.75" customHeight="1" x14ac:dyDescent="0.25">
      <c r="A93" s="13" t="s">
        <v>342</v>
      </c>
      <c r="B93" s="33">
        <v>46585.56</v>
      </c>
      <c r="C93" s="35">
        <f t="shared" si="1"/>
        <v>47726</v>
      </c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>
        <v>3176.86</v>
      </c>
      <c r="R93" s="35"/>
      <c r="S93" s="35"/>
      <c r="T93" s="35"/>
      <c r="U93" s="35">
        <v>3717</v>
      </c>
      <c r="V93" s="36"/>
      <c r="W93" s="35"/>
      <c r="X93" s="35">
        <v>40832.14</v>
      </c>
      <c r="Y93" s="35"/>
    </row>
    <row r="94" spans="1:25" ht="15.75" customHeight="1" x14ac:dyDescent="0.25">
      <c r="A94" s="13" t="s">
        <v>341</v>
      </c>
      <c r="B94" s="33">
        <v>47445.24</v>
      </c>
      <c r="C94" s="35">
        <f t="shared" si="1"/>
        <v>115748.14000000001</v>
      </c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>
        <f>3963.79+4960</f>
        <v>8923.7900000000009</v>
      </c>
      <c r="R94" s="35"/>
      <c r="S94" s="35">
        <v>784</v>
      </c>
      <c r="T94" s="35"/>
      <c r="U94" s="35"/>
      <c r="V94" s="36"/>
      <c r="W94" s="35"/>
      <c r="X94" s="35">
        <v>106040.35</v>
      </c>
      <c r="Y94" s="35"/>
    </row>
    <row r="95" spans="1:25" s="7" customFormat="1" ht="15.75" customHeight="1" x14ac:dyDescent="0.25">
      <c r="A95" s="13" t="s">
        <v>340</v>
      </c>
      <c r="B95" s="33">
        <v>442581.6</v>
      </c>
      <c r="C95" s="35">
        <f t="shared" si="1"/>
        <v>663993.12699999998</v>
      </c>
      <c r="D95" s="35"/>
      <c r="E95" s="35"/>
      <c r="F95" s="35"/>
      <c r="G95" s="35">
        <v>9422.5499999999993</v>
      </c>
      <c r="H95" s="35">
        <v>143276.1</v>
      </c>
      <c r="I95" s="35"/>
      <c r="J95" s="35">
        <f>7781.85+382.816</f>
        <v>8164.6660000000002</v>
      </c>
      <c r="K95" s="35"/>
      <c r="L95" s="35"/>
      <c r="M95" s="35"/>
      <c r="N95" s="35"/>
      <c r="O95" s="35"/>
      <c r="P95" s="35"/>
      <c r="Q95" s="35">
        <f>117558+12581.1+34739</f>
        <v>164878.1</v>
      </c>
      <c r="R95" s="35"/>
      <c r="S95" s="35">
        <v>474.63099999999997</v>
      </c>
      <c r="T95" s="35">
        <v>6808</v>
      </c>
      <c r="U95" s="35"/>
      <c r="V95" s="36"/>
      <c r="W95" s="35"/>
      <c r="X95" s="35">
        <v>330969.08</v>
      </c>
      <c r="Y95" s="35"/>
    </row>
    <row r="96" spans="1:25" s="7" customFormat="1" ht="15.75" customHeight="1" x14ac:dyDescent="0.25">
      <c r="A96" s="13" t="s">
        <v>339</v>
      </c>
      <c r="B96" s="33">
        <v>222339.48</v>
      </c>
      <c r="C96" s="35">
        <f t="shared" si="1"/>
        <v>8266.4169999999995</v>
      </c>
      <c r="D96" s="35"/>
      <c r="E96" s="35"/>
      <c r="F96" s="35"/>
      <c r="G96" s="35"/>
      <c r="H96" s="35"/>
      <c r="I96" s="35"/>
      <c r="J96" s="35">
        <f>2181.74+565</f>
        <v>2746.74</v>
      </c>
      <c r="K96" s="35"/>
      <c r="L96" s="35"/>
      <c r="M96" s="35"/>
      <c r="N96" s="35"/>
      <c r="O96" s="35"/>
      <c r="P96" s="35"/>
      <c r="Q96" s="35"/>
      <c r="R96" s="35"/>
      <c r="S96" s="35">
        <v>4566.32</v>
      </c>
      <c r="T96" s="35">
        <v>578.79</v>
      </c>
      <c r="U96" s="35">
        <v>374.56700000000001</v>
      </c>
      <c r="V96" s="36"/>
      <c r="W96" s="35"/>
      <c r="X96" s="35"/>
      <c r="Y96" s="35"/>
    </row>
    <row r="97" spans="1:25" ht="15.75" customHeight="1" x14ac:dyDescent="0.25">
      <c r="A97" s="13" t="s">
        <v>338</v>
      </c>
      <c r="B97" s="33">
        <v>156409.20000000001</v>
      </c>
      <c r="C97" s="35">
        <f t="shared" si="1"/>
        <v>227306.87400000001</v>
      </c>
      <c r="D97" s="35"/>
      <c r="E97" s="35"/>
      <c r="F97" s="35"/>
      <c r="G97" s="35"/>
      <c r="H97" s="35">
        <v>73471</v>
      </c>
      <c r="I97" s="35"/>
      <c r="J97" s="35">
        <v>1265.6600000000001</v>
      </c>
      <c r="K97" s="35"/>
      <c r="L97" s="35">
        <v>19226</v>
      </c>
      <c r="M97" s="35"/>
      <c r="N97" s="35">
        <f>11835.45+8980</f>
        <v>20815.45</v>
      </c>
      <c r="O97" s="35"/>
      <c r="P97" s="35"/>
      <c r="Q97" s="35"/>
      <c r="R97" s="35"/>
      <c r="S97" s="35"/>
      <c r="T97" s="35">
        <f>496.107+5193.89+1522</f>
        <v>7211.9970000000003</v>
      </c>
      <c r="U97" s="35">
        <v>244.43700000000001</v>
      </c>
      <c r="V97" s="36"/>
      <c r="W97" s="35"/>
      <c r="X97" s="35">
        <v>105072.33</v>
      </c>
      <c r="Y97" s="35"/>
    </row>
    <row r="98" spans="1:25" ht="15.75" customHeight="1" x14ac:dyDescent="0.25">
      <c r="A98" s="13" t="s">
        <v>337</v>
      </c>
      <c r="B98" s="33">
        <v>239022.24</v>
      </c>
      <c r="C98" s="35">
        <f t="shared" si="1"/>
        <v>556240.61</v>
      </c>
      <c r="D98" s="35"/>
      <c r="E98" s="35"/>
      <c r="F98" s="35">
        <v>376208</v>
      </c>
      <c r="G98" s="35"/>
      <c r="H98" s="35"/>
      <c r="I98" s="35"/>
      <c r="J98" s="35"/>
      <c r="K98" s="35"/>
      <c r="L98" s="35">
        <f>5196.4+3257</f>
        <v>8453.4</v>
      </c>
      <c r="M98" s="35"/>
      <c r="N98" s="35">
        <v>4201</v>
      </c>
      <c r="O98" s="35"/>
      <c r="P98" s="35"/>
      <c r="Q98" s="35">
        <v>14103</v>
      </c>
      <c r="R98" s="35">
        <v>13944.1</v>
      </c>
      <c r="S98" s="35">
        <f>7079.2+691.48</f>
        <v>7770.68</v>
      </c>
      <c r="T98" s="35"/>
      <c r="U98" s="35"/>
      <c r="V98" s="36"/>
      <c r="W98" s="35"/>
      <c r="X98" s="35">
        <v>131560.43</v>
      </c>
      <c r="Y98" s="35"/>
    </row>
    <row r="99" spans="1:25" ht="15.75" customHeight="1" x14ac:dyDescent="0.25">
      <c r="A99" s="13" t="s">
        <v>336</v>
      </c>
      <c r="B99" s="33">
        <v>97011.72</v>
      </c>
      <c r="C99" s="35">
        <f t="shared" si="1"/>
        <v>124</v>
      </c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>
        <v>124</v>
      </c>
      <c r="U99" s="35"/>
      <c r="V99" s="36"/>
      <c r="W99" s="35"/>
      <c r="X99" s="35"/>
      <c r="Y99" s="35"/>
    </row>
    <row r="100" spans="1:25" s="7" customFormat="1" ht="15.75" customHeight="1" x14ac:dyDescent="0.25">
      <c r="A100" s="13" t="s">
        <v>335</v>
      </c>
      <c r="B100" s="33">
        <v>441757.68</v>
      </c>
      <c r="C100" s="35">
        <f t="shared" si="1"/>
        <v>94874.852000000014</v>
      </c>
      <c r="D100" s="35"/>
      <c r="E100" s="35"/>
      <c r="F100" s="35"/>
      <c r="G100" s="35">
        <f>5961.87+9709.25+15353.8</f>
        <v>31024.92</v>
      </c>
      <c r="H100" s="35"/>
      <c r="I100" s="35"/>
      <c r="J100" s="35">
        <v>3899.9</v>
      </c>
      <c r="K100" s="35">
        <v>376.48</v>
      </c>
      <c r="L100" s="35">
        <v>3257</v>
      </c>
      <c r="M100" s="35"/>
      <c r="N100" s="35">
        <v>3442.1779999999999</v>
      </c>
      <c r="O100" s="35"/>
      <c r="P100" s="35"/>
      <c r="Q100" s="35">
        <v>10828.86</v>
      </c>
      <c r="R100" s="35">
        <v>2787</v>
      </c>
      <c r="S100" s="35">
        <v>15446.19</v>
      </c>
      <c r="T100" s="35">
        <f>432.659+9957</f>
        <v>10389.659</v>
      </c>
      <c r="U100" s="35">
        <f>9820.62+562.105</f>
        <v>10382.725</v>
      </c>
      <c r="V100" s="36">
        <f>1108.74+1931.2</f>
        <v>3039.94</v>
      </c>
      <c r="W100" s="35"/>
      <c r="X100" s="35"/>
      <c r="Y100" s="35"/>
    </row>
    <row r="101" spans="1:25" s="7" customFormat="1" ht="15.75" customHeight="1" x14ac:dyDescent="0.25">
      <c r="A101" s="12" t="s">
        <v>334</v>
      </c>
      <c r="B101" s="33">
        <v>476923.8</v>
      </c>
      <c r="C101" s="35">
        <f t="shared" si="1"/>
        <v>16533.14</v>
      </c>
      <c r="D101" s="35"/>
      <c r="E101" s="35"/>
      <c r="F101" s="35"/>
      <c r="G101" s="35">
        <f>627.68+9422</f>
        <v>10049.68</v>
      </c>
      <c r="H101" s="35"/>
      <c r="I101" s="35"/>
      <c r="J101" s="35">
        <v>1574.84</v>
      </c>
      <c r="K101" s="35">
        <v>2122.1</v>
      </c>
      <c r="L101" s="35"/>
      <c r="M101" s="35"/>
      <c r="N101" s="35"/>
      <c r="O101" s="35"/>
      <c r="P101" s="35"/>
      <c r="Q101" s="35">
        <v>2719.52</v>
      </c>
      <c r="R101" s="35"/>
      <c r="S101" s="35"/>
      <c r="T101" s="35">
        <v>67</v>
      </c>
      <c r="U101" s="35"/>
      <c r="V101" s="36"/>
      <c r="W101" s="35"/>
      <c r="X101" s="35"/>
      <c r="Y101" s="35"/>
    </row>
    <row r="102" spans="1:25" ht="15.75" customHeight="1" x14ac:dyDescent="0.25">
      <c r="A102" s="12" t="s">
        <v>333</v>
      </c>
      <c r="B102" s="33">
        <v>211904.84</v>
      </c>
      <c r="C102" s="35">
        <f t="shared" si="1"/>
        <v>171053.29</v>
      </c>
      <c r="D102" s="35">
        <v>7675</v>
      </c>
      <c r="E102" s="35"/>
      <c r="F102" s="35"/>
      <c r="G102" s="35">
        <v>153901</v>
      </c>
      <c r="H102" s="35"/>
      <c r="I102" s="35"/>
      <c r="J102" s="35">
        <f>88.46+2279.39+4823</f>
        <v>7190.85</v>
      </c>
      <c r="K102" s="35"/>
      <c r="L102" s="35">
        <v>1795</v>
      </c>
      <c r="M102" s="35"/>
      <c r="N102" s="35"/>
      <c r="O102" s="35"/>
      <c r="P102" s="35"/>
      <c r="Q102" s="35"/>
      <c r="R102" s="35"/>
      <c r="S102" s="35"/>
      <c r="T102" s="35">
        <v>491.44</v>
      </c>
      <c r="U102" s="35"/>
      <c r="V102" s="36"/>
      <c r="W102" s="35"/>
      <c r="X102" s="35"/>
      <c r="Y102" s="35"/>
    </row>
    <row r="103" spans="1:25" ht="15.75" customHeight="1" x14ac:dyDescent="0.25">
      <c r="A103" s="12" t="s">
        <v>332</v>
      </c>
      <c r="B103" s="33">
        <v>145363</v>
      </c>
      <c r="C103" s="35">
        <f t="shared" si="1"/>
        <v>223649.51</v>
      </c>
      <c r="D103" s="35"/>
      <c r="E103" s="35"/>
      <c r="F103" s="35">
        <v>204426</v>
      </c>
      <c r="G103" s="35">
        <v>1884.51</v>
      </c>
      <c r="H103" s="35"/>
      <c r="I103" s="35"/>
      <c r="J103" s="35">
        <v>4383</v>
      </c>
      <c r="K103" s="35"/>
      <c r="L103" s="35">
        <v>1795</v>
      </c>
      <c r="M103" s="35"/>
      <c r="N103" s="35"/>
      <c r="O103" s="35"/>
      <c r="P103" s="35"/>
      <c r="Q103" s="35"/>
      <c r="R103" s="35"/>
      <c r="S103" s="35">
        <v>11161</v>
      </c>
      <c r="T103" s="35"/>
      <c r="U103" s="35"/>
      <c r="V103" s="36"/>
      <c r="W103" s="35"/>
      <c r="X103" s="35"/>
      <c r="Y103" s="35"/>
    </row>
    <row r="104" spans="1:25" ht="15.75" customHeight="1" x14ac:dyDescent="0.25">
      <c r="A104" s="12" t="s">
        <v>331</v>
      </c>
      <c r="B104" s="33">
        <v>146189.04</v>
      </c>
      <c r="C104" s="35">
        <f t="shared" si="1"/>
        <v>1219</v>
      </c>
      <c r="D104" s="35"/>
      <c r="E104" s="35"/>
      <c r="F104" s="35"/>
      <c r="G104" s="35"/>
      <c r="H104" s="35"/>
      <c r="I104" s="35"/>
      <c r="J104" s="35">
        <v>1219</v>
      </c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6"/>
      <c r="W104" s="35"/>
      <c r="X104" s="35"/>
      <c r="Y104" s="35"/>
    </row>
    <row r="105" spans="1:25" ht="15.75" customHeight="1" x14ac:dyDescent="0.25">
      <c r="A105" s="12" t="s">
        <v>330</v>
      </c>
      <c r="B105" s="33">
        <v>135418.49</v>
      </c>
      <c r="C105" s="35">
        <f t="shared" si="1"/>
        <v>210916.91999999998</v>
      </c>
      <c r="D105" s="35"/>
      <c r="E105" s="35"/>
      <c r="F105" s="35">
        <v>193694</v>
      </c>
      <c r="G105" s="35"/>
      <c r="H105" s="35"/>
      <c r="I105" s="35"/>
      <c r="J105" s="35">
        <f>7387.57+1408.92</f>
        <v>8796.49</v>
      </c>
      <c r="K105" s="35">
        <f>752.95+376.48</f>
        <v>1129.43</v>
      </c>
      <c r="L105" s="35"/>
      <c r="M105" s="35"/>
      <c r="N105" s="35"/>
      <c r="O105" s="35"/>
      <c r="P105" s="35"/>
      <c r="Q105" s="35"/>
      <c r="R105" s="35"/>
      <c r="S105" s="35"/>
      <c r="T105" s="35"/>
      <c r="U105" s="35">
        <v>7297</v>
      </c>
      <c r="V105" s="36"/>
      <c r="W105" s="35"/>
      <c r="X105" s="35"/>
      <c r="Y105" s="35"/>
    </row>
    <row r="106" spans="1:25" ht="15.75" customHeight="1" x14ac:dyDescent="0.25">
      <c r="A106" s="12" t="s">
        <v>329</v>
      </c>
      <c r="B106" s="33">
        <v>139058.75</v>
      </c>
      <c r="C106" s="35">
        <f t="shared" si="1"/>
        <v>10212.09</v>
      </c>
      <c r="D106" s="35"/>
      <c r="E106" s="35"/>
      <c r="F106" s="35"/>
      <c r="G106" s="35"/>
      <c r="H106" s="35"/>
      <c r="I106" s="35"/>
      <c r="J106" s="35">
        <f>734+6930.14</f>
        <v>7664.14</v>
      </c>
      <c r="K106" s="35">
        <v>752.95</v>
      </c>
      <c r="L106" s="35">
        <v>1795</v>
      </c>
      <c r="M106" s="35"/>
      <c r="N106" s="35"/>
      <c r="O106" s="35"/>
      <c r="P106" s="35"/>
      <c r="Q106" s="35"/>
      <c r="R106" s="35"/>
      <c r="S106" s="35"/>
      <c r="T106" s="35"/>
      <c r="U106" s="35"/>
      <c r="V106" s="36"/>
      <c r="W106" s="35"/>
      <c r="X106" s="35"/>
      <c r="Y106" s="35"/>
    </row>
    <row r="107" spans="1:25" ht="15.75" customHeight="1" x14ac:dyDescent="0.25">
      <c r="A107" s="12" t="s">
        <v>328</v>
      </c>
      <c r="B107" s="33">
        <v>151339.18</v>
      </c>
      <c r="C107" s="35">
        <f t="shared" si="1"/>
        <v>76841.201399999991</v>
      </c>
      <c r="D107" s="35">
        <v>6498.0594000000001</v>
      </c>
      <c r="E107" s="35"/>
      <c r="F107" s="35"/>
      <c r="G107" s="35"/>
      <c r="H107" s="35"/>
      <c r="I107" s="35"/>
      <c r="J107" s="35">
        <f>6485+632.822+2579</f>
        <v>9696.8220000000001</v>
      </c>
      <c r="K107" s="35">
        <v>611</v>
      </c>
      <c r="L107" s="35">
        <v>24744.2</v>
      </c>
      <c r="M107" s="35"/>
      <c r="N107" s="35"/>
      <c r="O107" s="35"/>
      <c r="P107" s="35"/>
      <c r="Q107" s="35">
        <v>23528</v>
      </c>
      <c r="R107" s="35"/>
      <c r="S107" s="35">
        <f>1577.9+1624.92</f>
        <v>3202.82</v>
      </c>
      <c r="T107" s="35"/>
      <c r="U107" s="35">
        <v>6613.9</v>
      </c>
      <c r="V107" s="36">
        <f>865.52+1080.88</f>
        <v>1946.4</v>
      </c>
      <c r="W107" s="35"/>
      <c r="X107" s="35"/>
      <c r="Y107" s="35"/>
    </row>
    <row r="108" spans="1:25" ht="15.75" customHeight="1" x14ac:dyDescent="0.25">
      <c r="A108" s="12" t="s">
        <v>324</v>
      </c>
      <c r="B108" s="33">
        <v>97732.09</v>
      </c>
      <c r="C108" s="35">
        <f t="shared" si="1"/>
        <v>51694.649999999994</v>
      </c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>
        <v>50302.879999999997</v>
      </c>
      <c r="T108" s="35">
        <v>1391.77</v>
      </c>
      <c r="U108" s="35"/>
      <c r="V108" s="36"/>
      <c r="W108" s="35"/>
      <c r="X108" s="35"/>
      <c r="Y108" s="35"/>
    </row>
    <row r="109" spans="1:25" ht="15.75" customHeight="1" x14ac:dyDescent="0.25">
      <c r="A109" s="12" t="s">
        <v>323</v>
      </c>
      <c r="B109" s="33">
        <v>427982.16</v>
      </c>
      <c r="C109" s="35">
        <f t="shared" si="1"/>
        <v>316267.55900000007</v>
      </c>
      <c r="D109" s="35"/>
      <c r="E109" s="35"/>
      <c r="F109" s="35"/>
      <c r="G109" s="35"/>
      <c r="H109" s="35">
        <v>248253</v>
      </c>
      <c r="I109" s="35"/>
      <c r="J109" s="35">
        <f>2639+1957.64+1349.81+7890.88</f>
        <v>13837.330000000002</v>
      </c>
      <c r="K109" s="35">
        <f>1129.4+301+376.479</f>
        <v>1806.8790000000001</v>
      </c>
      <c r="L109" s="35">
        <v>10357.74</v>
      </c>
      <c r="M109" s="35"/>
      <c r="N109" s="35">
        <v>925.12</v>
      </c>
      <c r="O109" s="35"/>
      <c r="P109" s="35">
        <v>8080.64</v>
      </c>
      <c r="Q109" s="35">
        <v>15622.2</v>
      </c>
      <c r="R109" s="35"/>
      <c r="S109" s="35"/>
      <c r="T109" s="35">
        <v>9097.7999999999993</v>
      </c>
      <c r="U109" s="35">
        <v>7854.08</v>
      </c>
      <c r="V109" s="36">
        <v>432.77</v>
      </c>
      <c r="W109" s="35"/>
      <c r="X109" s="35"/>
      <c r="Y109" s="35"/>
    </row>
    <row r="110" spans="1:25" s="7" customFormat="1" ht="15.75" customHeight="1" x14ac:dyDescent="0.25">
      <c r="A110" s="13" t="s">
        <v>322</v>
      </c>
      <c r="B110" s="33">
        <v>444847.32</v>
      </c>
      <c r="C110" s="35">
        <f t="shared" si="1"/>
        <v>214264.239</v>
      </c>
      <c r="D110" s="35"/>
      <c r="E110" s="35"/>
      <c r="F110" s="35"/>
      <c r="G110" s="35"/>
      <c r="H110" s="35">
        <v>164699</v>
      </c>
      <c r="I110" s="35"/>
      <c r="J110" s="35">
        <v>3082</v>
      </c>
      <c r="K110" s="35">
        <v>376.47899999999998</v>
      </c>
      <c r="L110" s="35">
        <v>11349.2</v>
      </c>
      <c r="M110" s="35"/>
      <c r="N110" s="35"/>
      <c r="O110" s="35">
        <v>3257</v>
      </c>
      <c r="P110" s="35"/>
      <c r="Q110" s="35">
        <f>7881.9+3551.61+9887.28+3954</f>
        <v>25274.79</v>
      </c>
      <c r="R110" s="35"/>
      <c r="S110" s="35"/>
      <c r="T110" s="35"/>
      <c r="U110" s="35"/>
      <c r="V110" s="36">
        <f>432.77+5793</f>
        <v>6225.77</v>
      </c>
      <c r="W110" s="35"/>
      <c r="X110" s="35"/>
      <c r="Y110" s="35"/>
    </row>
    <row r="111" spans="1:25" ht="15.75" customHeight="1" x14ac:dyDescent="0.25">
      <c r="A111" s="13" t="s">
        <v>321</v>
      </c>
      <c r="B111" s="33">
        <v>374589.48</v>
      </c>
      <c r="C111" s="35">
        <f t="shared" si="1"/>
        <v>169456.11</v>
      </c>
      <c r="D111" s="35"/>
      <c r="E111" s="35"/>
      <c r="F111" s="35"/>
      <c r="G111" s="35"/>
      <c r="H111" s="35">
        <v>101872</v>
      </c>
      <c r="I111" s="35"/>
      <c r="J111" s="35">
        <v>18076.2</v>
      </c>
      <c r="K111" s="35"/>
      <c r="L111" s="35"/>
      <c r="M111" s="35"/>
      <c r="N111" s="35">
        <v>16121.16</v>
      </c>
      <c r="O111" s="35">
        <v>19069.98</v>
      </c>
      <c r="P111" s="35"/>
      <c r="Q111" s="35"/>
      <c r="R111" s="35"/>
      <c r="S111" s="35"/>
      <c r="T111" s="35">
        <v>13884</v>
      </c>
      <c r="U111" s="35"/>
      <c r="V111" s="36">
        <v>432.77</v>
      </c>
      <c r="W111" s="35"/>
      <c r="X111" s="35"/>
      <c r="Y111" s="35"/>
    </row>
    <row r="112" spans="1:25" s="7" customFormat="1" ht="15.75" customHeight="1" x14ac:dyDescent="0.25">
      <c r="A112" s="13" t="s">
        <v>320</v>
      </c>
      <c r="B112" s="33">
        <v>6506.28</v>
      </c>
      <c r="C112" s="35">
        <f t="shared" si="1"/>
        <v>7337.83</v>
      </c>
      <c r="D112" s="35"/>
      <c r="E112" s="35"/>
      <c r="F112" s="35"/>
      <c r="G112" s="35"/>
      <c r="H112" s="35"/>
      <c r="I112" s="35"/>
      <c r="J112" s="35"/>
      <c r="K112" s="35"/>
      <c r="L112" s="35">
        <v>4158</v>
      </c>
      <c r="M112" s="35"/>
      <c r="N112" s="35"/>
      <c r="O112" s="35"/>
      <c r="P112" s="35"/>
      <c r="Q112" s="35"/>
      <c r="R112" s="35"/>
      <c r="S112" s="35"/>
      <c r="T112" s="35">
        <v>842.07</v>
      </c>
      <c r="U112" s="35">
        <v>1904.99</v>
      </c>
      <c r="V112" s="36">
        <v>432.77</v>
      </c>
      <c r="W112" s="35"/>
      <c r="X112" s="35"/>
      <c r="Y112" s="35"/>
    </row>
    <row r="113" spans="1:25" ht="15.75" customHeight="1" x14ac:dyDescent="0.25">
      <c r="A113" s="13" t="s">
        <v>319</v>
      </c>
      <c r="B113" s="33">
        <v>74816.399999999994</v>
      </c>
      <c r="C113" s="35">
        <f t="shared" si="1"/>
        <v>24017.982000000004</v>
      </c>
      <c r="D113" s="35"/>
      <c r="E113" s="35"/>
      <c r="F113" s="35"/>
      <c r="G113" s="35"/>
      <c r="H113" s="35"/>
      <c r="I113" s="35"/>
      <c r="J113" s="35">
        <f>1937.67+3247</f>
        <v>5184.67</v>
      </c>
      <c r="K113" s="35">
        <v>376.48</v>
      </c>
      <c r="L113" s="35"/>
      <c r="M113" s="35"/>
      <c r="N113" s="35"/>
      <c r="O113" s="35"/>
      <c r="P113" s="35"/>
      <c r="Q113" s="35"/>
      <c r="R113" s="35"/>
      <c r="S113" s="35"/>
      <c r="T113" s="35">
        <v>842.072</v>
      </c>
      <c r="U113" s="35"/>
      <c r="V113" s="36">
        <f>432.77+5543.72+10759.27+879</f>
        <v>17614.760000000002</v>
      </c>
      <c r="W113" s="35"/>
      <c r="X113" s="35"/>
      <c r="Y113" s="35"/>
    </row>
    <row r="114" spans="1:25" ht="15.75" customHeight="1" x14ac:dyDescent="0.25">
      <c r="A114" s="13" t="s">
        <v>318</v>
      </c>
      <c r="B114" s="33">
        <v>100621.92</v>
      </c>
      <c r="C114" s="35">
        <f t="shared" si="1"/>
        <v>15151.59</v>
      </c>
      <c r="D114" s="35"/>
      <c r="E114" s="35"/>
      <c r="F114" s="35"/>
      <c r="G114" s="35">
        <v>4132.3599999999997</v>
      </c>
      <c r="H114" s="35"/>
      <c r="I114" s="35"/>
      <c r="J114" s="35">
        <f>1138.59+1608.34</f>
        <v>2746.93</v>
      </c>
      <c r="K114" s="35"/>
      <c r="L114" s="35">
        <v>6527.76</v>
      </c>
      <c r="M114" s="35"/>
      <c r="N114" s="35"/>
      <c r="O114" s="35"/>
      <c r="P114" s="35"/>
      <c r="Q114" s="35"/>
      <c r="R114" s="35"/>
      <c r="S114" s="35"/>
      <c r="T114" s="35"/>
      <c r="U114" s="35"/>
      <c r="V114" s="36">
        <f>432.77+432.77+879</f>
        <v>1744.54</v>
      </c>
      <c r="W114" s="35"/>
      <c r="X114" s="35"/>
      <c r="Y114" s="35"/>
    </row>
    <row r="115" spans="1:25" s="7" customFormat="1" ht="15.75" customHeight="1" x14ac:dyDescent="0.25">
      <c r="A115" s="13" t="s">
        <v>317</v>
      </c>
      <c r="B115" s="33">
        <v>202059.24</v>
      </c>
      <c r="C115" s="35">
        <f t="shared" si="1"/>
        <v>211799.37</v>
      </c>
      <c r="D115" s="35"/>
      <c r="E115" s="35"/>
      <c r="F115" s="35"/>
      <c r="G115" s="35"/>
      <c r="H115" s="35"/>
      <c r="I115" s="35"/>
      <c r="J115" s="35">
        <v>153.71899999999999</v>
      </c>
      <c r="K115" s="35">
        <v>6187.88</v>
      </c>
      <c r="L115" s="35">
        <f>57714.9+10771+3181</f>
        <v>71666.899999999994</v>
      </c>
      <c r="M115" s="35"/>
      <c r="N115" s="35"/>
      <c r="O115" s="35">
        <f>2202.458+5575.035+1313.484</f>
        <v>9090.9770000000008</v>
      </c>
      <c r="P115" s="35"/>
      <c r="Q115" s="35">
        <f>844.384+9453</f>
        <v>10297.384</v>
      </c>
      <c r="R115" s="35"/>
      <c r="S115" s="35">
        <v>111982</v>
      </c>
      <c r="T115" s="35"/>
      <c r="U115" s="35"/>
      <c r="V115" s="36">
        <f>432.77+1108.74+879</f>
        <v>2420.5100000000002</v>
      </c>
      <c r="W115" s="35"/>
      <c r="X115" s="35"/>
      <c r="Y115" s="35"/>
    </row>
    <row r="116" spans="1:25" s="7" customFormat="1" ht="15.75" customHeight="1" x14ac:dyDescent="0.25">
      <c r="A116" s="13" t="s">
        <v>316</v>
      </c>
      <c r="B116" s="33">
        <v>169891.44</v>
      </c>
      <c r="C116" s="35">
        <f t="shared" si="1"/>
        <v>155149.51999999999</v>
      </c>
      <c r="D116" s="35">
        <v>3009.93</v>
      </c>
      <c r="E116" s="35"/>
      <c r="F116" s="35"/>
      <c r="G116" s="35"/>
      <c r="H116" s="35"/>
      <c r="I116" s="35"/>
      <c r="J116" s="35">
        <v>13044.41</v>
      </c>
      <c r="K116" s="35"/>
      <c r="L116" s="35"/>
      <c r="M116" s="35"/>
      <c r="N116" s="35"/>
      <c r="O116" s="35"/>
      <c r="P116" s="35"/>
      <c r="Q116" s="35">
        <v>135085.79999999999</v>
      </c>
      <c r="R116" s="35"/>
      <c r="S116" s="35"/>
      <c r="T116" s="35"/>
      <c r="U116" s="35"/>
      <c r="V116" s="36">
        <f>432.77+939.61+2637</f>
        <v>4009.38</v>
      </c>
      <c r="W116" s="35"/>
      <c r="X116" s="35"/>
      <c r="Y116" s="35"/>
    </row>
    <row r="117" spans="1:25" s="7" customFormat="1" ht="15.75" customHeight="1" x14ac:dyDescent="0.25">
      <c r="A117" s="13" t="s">
        <v>315</v>
      </c>
      <c r="B117" s="33">
        <v>64800.36</v>
      </c>
      <c r="C117" s="35">
        <f t="shared" si="1"/>
        <v>14428.82</v>
      </c>
      <c r="D117" s="35"/>
      <c r="E117" s="35"/>
      <c r="F117" s="35"/>
      <c r="G117" s="35"/>
      <c r="H117" s="35"/>
      <c r="I117" s="35"/>
      <c r="J117" s="35">
        <v>9272.26</v>
      </c>
      <c r="K117" s="35"/>
      <c r="L117" s="35">
        <v>5156.5600000000004</v>
      </c>
      <c r="M117" s="35"/>
      <c r="N117" s="35"/>
      <c r="O117" s="35"/>
      <c r="P117" s="35"/>
      <c r="Q117" s="35"/>
      <c r="R117" s="35"/>
      <c r="S117" s="35"/>
      <c r="T117" s="35"/>
      <c r="U117" s="35"/>
      <c r="V117" s="36"/>
      <c r="W117" s="35"/>
      <c r="X117" s="35"/>
      <c r="Y117" s="35"/>
    </row>
    <row r="118" spans="1:25" s="56" customFormat="1" ht="15.75" customHeight="1" x14ac:dyDescent="0.25">
      <c r="A118" s="13" t="s">
        <v>314</v>
      </c>
      <c r="B118" s="33">
        <v>156210.35999999999</v>
      </c>
      <c r="C118" s="35">
        <f t="shared" si="1"/>
        <v>237460.33000000002</v>
      </c>
      <c r="D118" s="35"/>
      <c r="E118" s="35"/>
      <c r="F118" s="35"/>
      <c r="G118" s="35"/>
      <c r="H118" s="35">
        <v>161654</v>
      </c>
      <c r="I118" s="35"/>
      <c r="J118" s="35">
        <f>7716.37+1601.41+3750.04</f>
        <v>13067.82</v>
      </c>
      <c r="K118" s="35">
        <v>376.48</v>
      </c>
      <c r="L118" s="35"/>
      <c r="M118" s="35"/>
      <c r="N118" s="35"/>
      <c r="O118" s="35">
        <v>32884.58</v>
      </c>
      <c r="P118" s="35"/>
      <c r="Q118" s="35"/>
      <c r="R118" s="35"/>
      <c r="S118" s="35">
        <v>11082.22</v>
      </c>
      <c r="T118" s="35">
        <v>2480.5100000000002</v>
      </c>
      <c r="U118" s="35">
        <v>7630.49</v>
      </c>
      <c r="V118" s="36">
        <f>5976.49+1108.74+1199</f>
        <v>8284.23</v>
      </c>
      <c r="W118" s="35"/>
      <c r="X118" s="35"/>
      <c r="Y118" s="35"/>
    </row>
    <row r="119" spans="1:25" s="7" customFormat="1" ht="15.75" customHeight="1" x14ac:dyDescent="0.25">
      <c r="A119" s="13" t="s">
        <v>313</v>
      </c>
      <c r="B119" s="33">
        <v>207536.28</v>
      </c>
      <c r="C119" s="35">
        <f t="shared" si="1"/>
        <v>39479.83</v>
      </c>
      <c r="D119" s="35"/>
      <c r="E119" s="35"/>
      <c r="F119" s="35"/>
      <c r="G119" s="35">
        <v>1256.3399999999999</v>
      </c>
      <c r="H119" s="35"/>
      <c r="I119" s="35"/>
      <c r="J119" s="35">
        <f>7929.91+4003.53+993.56</f>
        <v>12927</v>
      </c>
      <c r="K119" s="35">
        <v>14669.8</v>
      </c>
      <c r="L119" s="35">
        <v>1861</v>
      </c>
      <c r="M119" s="35"/>
      <c r="N119" s="35">
        <v>945.18</v>
      </c>
      <c r="O119" s="35"/>
      <c r="P119" s="35"/>
      <c r="Q119" s="35"/>
      <c r="R119" s="35"/>
      <c r="S119" s="35"/>
      <c r="T119" s="35"/>
      <c r="U119" s="35">
        <v>5401</v>
      </c>
      <c r="V119" s="36">
        <f>432.77+1108.74+878</f>
        <v>2419.5100000000002</v>
      </c>
      <c r="W119" s="35"/>
      <c r="X119" s="35"/>
      <c r="Y119" s="35"/>
    </row>
    <row r="120" spans="1:25" s="7" customFormat="1" ht="15.75" customHeight="1" x14ac:dyDescent="0.25">
      <c r="A120" s="13" t="s">
        <v>312</v>
      </c>
      <c r="B120" s="33">
        <v>561116.4</v>
      </c>
      <c r="C120" s="35">
        <f t="shared" si="1"/>
        <v>49676.596000000005</v>
      </c>
      <c r="D120" s="35"/>
      <c r="E120" s="35"/>
      <c r="F120" s="35"/>
      <c r="G120" s="35">
        <f>9554.81+1997</f>
        <v>11551.81</v>
      </c>
      <c r="H120" s="35"/>
      <c r="I120" s="35"/>
      <c r="J120" s="35">
        <f>1213.81+3800.14+1213.81+3637.87+4160.68</f>
        <v>14026.310000000001</v>
      </c>
      <c r="K120" s="35">
        <f>376.48+62.38+752.946</f>
        <v>1191.806</v>
      </c>
      <c r="L120" s="35"/>
      <c r="M120" s="35">
        <v>62.327599999999997</v>
      </c>
      <c r="N120" s="35"/>
      <c r="O120" s="35"/>
      <c r="P120" s="35"/>
      <c r="Q120" s="35">
        <v>3986</v>
      </c>
      <c r="R120" s="35"/>
      <c r="S120" s="35"/>
      <c r="T120" s="35">
        <v>1010.48</v>
      </c>
      <c r="U120" s="35">
        <f>14365.2+1124.48</f>
        <v>15489.68</v>
      </c>
      <c r="V120" s="36">
        <f>432.77+1108.74+879</f>
        <v>2420.5100000000002</v>
      </c>
      <c r="W120" s="35"/>
      <c r="X120" s="35"/>
      <c r="Y120" s="35"/>
    </row>
    <row r="121" spans="1:25" s="7" customFormat="1" ht="15.75" customHeight="1" x14ac:dyDescent="0.25">
      <c r="A121" s="13" t="s">
        <v>311</v>
      </c>
      <c r="B121" s="33">
        <v>134776.32000000001</v>
      </c>
      <c r="C121" s="35">
        <f t="shared" si="1"/>
        <v>66476.92</v>
      </c>
      <c r="D121" s="35"/>
      <c r="E121" s="35"/>
      <c r="F121" s="35"/>
      <c r="G121" s="35">
        <f>3138.36+37062.03+95</f>
        <v>40295.39</v>
      </c>
      <c r="H121" s="35"/>
      <c r="I121" s="35"/>
      <c r="J121" s="35">
        <f>1130.51+1985.94</f>
        <v>3116.45</v>
      </c>
      <c r="K121" s="35">
        <f>376.48+1181</f>
        <v>1557.48</v>
      </c>
      <c r="L121" s="35"/>
      <c r="M121" s="35"/>
      <c r="N121" s="35">
        <v>1849.06</v>
      </c>
      <c r="O121" s="35"/>
      <c r="P121" s="35"/>
      <c r="Q121" s="35">
        <v>18793</v>
      </c>
      <c r="R121" s="35"/>
      <c r="S121" s="35"/>
      <c r="T121" s="35"/>
      <c r="U121" s="35"/>
      <c r="V121" s="36">
        <f>432.77+432.77</f>
        <v>865.54</v>
      </c>
      <c r="W121" s="35"/>
      <c r="X121" s="35"/>
      <c r="Y121" s="35"/>
    </row>
    <row r="122" spans="1:25" s="7" customFormat="1" ht="15.75" customHeight="1" x14ac:dyDescent="0.25">
      <c r="A122" s="13" t="s">
        <v>310</v>
      </c>
      <c r="B122" s="33">
        <v>113008.08</v>
      </c>
      <c r="C122" s="35">
        <f>D122+E122+F122+G122+H122+I122+J122+K122+L122+M122+N122+O122+P122+Q122+R122+S122+T122+U122+V122+W122+X122+Y122</f>
        <v>29215.591</v>
      </c>
      <c r="D122" s="35"/>
      <c r="E122" s="35"/>
      <c r="F122" s="35"/>
      <c r="G122" s="35"/>
      <c r="H122" s="35"/>
      <c r="I122" s="35"/>
      <c r="J122" s="35">
        <f>2352.85+2364.73+4116</f>
        <v>8833.58</v>
      </c>
      <c r="K122" s="35">
        <v>376.48</v>
      </c>
      <c r="L122" s="35"/>
      <c r="M122" s="35">
        <v>124</v>
      </c>
      <c r="N122" s="35"/>
      <c r="O122" s="35"/>
      <c r="P122" s="35"/>
      <c r="Q122" s="40">
        <v>19406.900000000001</v>
      </c>
      <c r="R122" s="35"/>
      <c r="S122" s="35">
        <v>474.63099999999997</v>
      </c>
      <c r="T122" s="35"/>
      <c r="U122" s="35"/>
      <c r="V122" s="36"/>
      <c r="W122" s="35"/>
      <c r="X122" s="35"/>
      <c r="Y122" s="35"/>
    </row>
    <row r="123" spans="1:25" s="7" customFormat="1" ht="15.75" customHeight="1" x14ac:dyDescent="0.25">
      <c r="A123" s="13" t="s">
        <v>309</v>
      </c>
      <c r="B123" s="33">
        <v>284382</v>
      </c>
      <c r="C123" s="35">
        <f t="shared" si="1"/>
        <v>152668.91300000003</v>
      </c>
      <c r="D123" s="35">
        <v>26847.360000000001</v>
      </c>
      <c r="E123" s="35"/>
      <c r="F123" s="35"/>
      <c r="G123" s="35">
        <v>3184.94</v>
      </c>
      <c r="H123" s="35"/>
      <c r="I123" s="35"/>
      <c r="J123" s="35">
        <f>1607.5+7851.72</f>
        <v>9459.2200000000012</v>
      </c>
      <c r="K123" s="35">
        <f>697.9+376.479</f>
        <v>1074.3789999999999</v>
      </c>
      <c r="L123" s="35">
        <v>29734</v>
      </c>
      <c r="M123" s="35"/>
      <c r="N123" s="35"/>
      <c r="O123" s="35">
        <f>5781.434+4840.36</f>
        <v>10621.794</v>
      </c>
      <c r="P123" s="35"/>
      <c r="Q123" s="35">
        <v>2811.44</v>
      </c>
      <c r="R123" s="35"/>
      <c r="S123" s="35"/>
      <c r="T123" s="35">
        <f>496.107+421.036+66016</f>
        <v>66933.142999999996</v>
      </c>
      <c r="U123" s="35">
        <v>244.43700000000001</v>
      </c>
      <c r="V123" s="36">
        <f>432.77+410.43+915</f>
        <v>1758.2</v>
      </c>
      <c r="W123" s="35"/>
      <c r="X123" s="35"/>
      <c r="Y123" s="35"/>
    </row>
    <row r="124" spans="1:25" ht="15.75" customHeight="1" x14ac:dyDescent="0.25">
      <c r="A124" s="13" t="s">
        <v>308</v>
      </c>
      <c r="B124" s="33">
        <v>51923.64</v>
      </c>
      <c r="C124" s="35">
        <f t="shared" si="1"/>
        <v>54004.111000000004</v>
      </c>
      <c r="D124" s="35"/>
      <c r="E124" s="35"/>
      <c r="F124" s="35"/>
      <c r="G124" s="35"/>
      <c r="H124" s="35"/>
      <c r="I124" s="35"/>
      <c r="J124" s="35">
        <f>765.631+4681</f>
        <v>5446.6310000000003</v>
      </c>
      <c r="K124" s="35"/>
      <c r="L124" s="35"/>
      <c r="M124" s="35"/>
      <c r="N124" s="35"/>
      <c r="O124" s="35"/>
      <c r="P124" s="35"/>
      <c r="Q124" s="35">
        <v>41963.21</v>
      </c>
      <c r="R124" s="35"/>
      <c r="S124" s="35">
        <v>3293.76</v>
      </c>
      <c r="T124" s="35"/>
      <c r="U124" s="35"/>
      <c r="V124" s="36">
        <f>432.77+1108.74+1759</f>
        <v>3300.51</v>
      </c>
      <c r="W124" s="35"/>
      <c r="X124" s="35"/>
      <c r="Y124" s="35"/>
    </row>
    <row r="125" spans="1:25" ht="15.75" customHeight="1" x14ac:dyDescent="0.25">
      <c r="A125" s="12" t="s">
        <v>307</v>
      </c>
      <c r="B125" s="33">
        <v>87477.66</v>
      </c>
      <c r="C125" s="35">
        <f t="shared" si="1"/>
        <v>367</v>
      </c>
      <c r="D125" s="35"/>
      <c r="E125" s="35"/>
      <c r="F125" s="35"/>
      <c r="G125" s="35"/>
      <c r="H125" s="35"/>
      <c r="I125" s="35"/>
      <c r="J125" s="35"/>
      <c r="K125" s="35">
        <v>367</v>
      </c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6"/>
      <c r="W125" s="35"/>
      <c r="X125" s="35"/>
      <c r="Y125" s="35"/>
    </row>
    <row r="126" spans="1:25" s="7" customFormat="1" ht="15.75" customHeight="1" x14ac:dyDescent="0.25">
      <c r="A126" s="13" t="s">
        <v>306</v>
      </c>
      <c r="B126" s="33">
        <v>416316.72</v>
      </c>
      <c r="C126" s="35">
        <f>D126+E126+G126+H126+I126+J126+K126+L126+N126+O126+P126+Q126+R126+S126+T126+U126+V126+W126+X126+Y126+F126+M126</f>
        <v>346209.39600000001</v>
      </c>
      <c r="D126" s="35"/>
      <c r="E126" s="35"/>
      <c r="F126" s="35"/>
      <c r="G126" s="35">
        <v>5783</v>
      </c>
      <c r="H126" s="35">
        <f>179846+122741</f>
        <v>302587</v>
      </c>
      <c r="I126" s="35"/>
      <c r="J126" s="35">
        <f>800.772+3334.77+2144</f>
        <v>6279.5420000000004</v>
      </c>
      <c r="K126" s="35">
        <v>8209</v>
      </c>
      <c r="L126" s="35">
        <v>14808</v>
      </c>
      <c r="M126" s="35">
        <v>6402.31</v>
      </c>
      <c r="N126" s="35"/>
      <c r="O126" s="35"/>
      <c r="P126" s="35"/>
      <c r="Q126" s="35">
        <v>1734.317</v>
      </c>
      <c r="R126" s="35"/>
      <c r="S126" s="35">
        <v>406.22699999999998</v>
      </c>
      <c r="T126" s="35"/>
      <c r="U126" s="35"/>
      <c r="V126" s="36"/>
      <c r="W126" s="35"/>
      <c r="X126" s="35"/>
      <c r="Y126" s="35"/>
    </row>
    <row r="127" spans="1:25" ht="15.75" customHeight="1" x14ac:dyDescent="0.25">
      <c r="A127" s="12" t="s">
        <v>305</v>
      </c>
      <c r="B127" s="33">
        <v>46477</v>
      </c>
      <c r="C127" s="35">
        <f t="shared" si="1"/>
        <v>0</v>
      </c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6"/>
      <c r="W127" s="35"/>
      <c r="X127" s="35"/>
      <c r="Y127" s="35"/>
    </row>
    <row r="128" spans="1:25" ht="15.75" customHeight="1" x14ac:dyDescent="0.25">
      <c r="A128" s="12" t="s">
        <v>304</v>
      </c>
      <c r="B128" s="33">
        <v>65137.39</v>
      </c>
      <c r="C128" s="35">
        <f t="shared" si="1"/>
        <v>23939.14</v>
      </c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>
        <v>3993</v>
      </c>
      <c r="T128" s="35">
        <v>5395.54</v>
      </c>
      <c r="U128" s="35">
        <v>7032.61</v>
      </c>
      <c r="V128" s="36">
        <v>7517.99</v>
      </c>
      <c r="W128" s="35"/>
      <c r="X128" s="35"/>
      <c r="Y128" s="35"/>
    </row>
    <row r="129" spans="1:25" ht="15.75" customHeight="1" x14ac:dyDescent="0.25">
      <c r="A129" s="13" t="s">
        <v>303</v>
      </c>
      <c r="B129" s="33">
        <v>27243.15</v>
      </c>
      <c r="C129" s="35">
        <f t="shared" si="1"/>
        <v>2274.88</v>
      </c>
      <c r="D129" s="35"/>
      <c r="E129" s="35"/>
      <c r="F129" s="35"/>
      <c r="G129" s="35"/>
      <c r="H129" s="35"/>
      <c r="I129" s="35"/>
      <c r="J129" s="35"/>
      <c r="K129" s="35">
        <v>368</v>
      </c>
      <c r="L129" s="35"/>
      <c r="M129" s="35"/>
      <c r="N129" s="35"/>
      <c r="O129" s="35"/>
      <c r="P129" s="35"/>
      <c r="Q129" s="35">
        <v>1561.14</v>
      </c>
      <c r="R129" s="35"/>
      <c r="S129" s="35">
        <v>345.74</v>
      </c>
      <c r="T129" s="35"/>
      <c r="U129" s="35"/>
      <c r="V129" s="36"/>
      <c r="W129" s="35"/>
      <c r="X129" s="35"/>
      <c r="Y129" s="35"/>
    </row>
    <row r="130" spans="1:25" ht="15.75" customHeight="1" x14ac:dyDescent="0.25">
      <c r="A130" s="12" t="s">
        <v>302</v>
      </c>
      <c r="B130" s="33">
        <v>124223.26</v>
      </c>
      <c r="C130" s="35">
        <f t="shared" si="1"/>
        <v>34863.858999999997</v>
      </c>
      <c r="D130" s="35"/>
      <c r="E130" s="35"/>
      <c r="F130" s="35"/>
      <c r="G130" s="35"/>
      <c r="H130" s="35"/>
      <c r="I130" s="35"/>
      <c r="J130" s="35"/>
      <c r="K130" s="35">
        <v>376.47899999999998</v>
      </c>
      <c r="L130" s="35">
        <v>3615</v>
      </c>
      <c r="M130" s="35"/>
      <c r="N130" s="35"/>
      <c r="O130" s="35">
        <v>21548</v>
      </c>
      <c r="P130" s="35"/>
      <c r="Q130" s="35"/>
      <c r="R130" s="35"/>
      <c r="S130" s="35"/>
      <c r="T130" s="35"/>
      <c r="U130" s="35">
        <v>1438.38</v>
      </c>
      <c r="V130" s="36"/>
      <c r="W130" s="35"/>
      <c r="X130" s="35"/>
      <c r="Y130" s="35">
        <v>7886</v>
      </c>
    </row>
    <row r="131" spans="1:25" s="7" customFormat="1" ht="15.75" customHeight="1" x14ac:dyDescent="0.25">
      <c r="A131" s="13" t="s">
        <v>301</v>
      </c>
      <c r="B131" s="33">
        <v>141549.12</v>
      </c>
      <c r="C131" s="35">
        <f t="shared" si="1"/>
        <v>134706.06</v>
      </c>
      <c r="D131" s="35"/>
      <c r="E131" s="35"/>
      <c r="F131" s="35"/>
      <c r="G131" s="35"/>
      <c r="H131" s="35">
        <v>62016</v>
      </c>
      <c r="I131" s="35"/>
      <c r="J131" s="35"/>
      <c r="K131" s="35">
        <f>1458.6+376.48</f>
        <v>1835.08</v>
      </c>
      <c r="L131" s="35"/>
      <c r="M131" s="35">
        <v>5762.08</v>
      </c>
      <c r="N131" s="35"/>
      <c r="O131" s="35"/>
      <c r="P131" s="35"/>
      <c r="Q131" s="35">
        <v>7508.58</v>
      </c>
      <c r="R131" s="35"/>
      <c r="S131" s="35"/>
      <c r="T131" s="35">
        <f>4556.04+1623.8+1147.54+16450</f>
        <v>23777.38</v>
      </c>
      <c r="U131" s="35">
        <f>1738.62+550</f>
        <v>2288.62</v>
      </c>
      <c r="V131" s="36">
        <v>3862.4</v>
      </c>
      <c r="W131" s="35">
        <v>33418</v>
      </c>
      <c r="X131" s="35"/>
      <c r="Y131" s="35"/>
    </row>
    <row r="132" spans="1:25" ht="15.75" customHeight="1" x14ac:dyDescent="0.25">
      <c r="A132" s="12" t="s">
        <v>386</v>
      </c>
      <c r="B132" s="33">
        <v>157276.22</v>
      </c>
      <c r="C132" s="35">
        <f t="shared" si="1"/>
        <v>3855</v>
      </c>
      <c r="D132" s="35"/>
      <c r="E132" s="35"/>
      <c r="F132" s="35"/>
      <c r="G132" s="35"/>
      <c r="H132" s="35"/>
      <c r="I132" s="35"/>
      <c r="J132" s="35">
        <v>761</v>
      </c>
      <c r="K132" s="35">
        <v>607</v>
      </c>
      <c r="L132" s="35"/>
      <c r="M132" s="35"/>
      <c r="N132" s="35"/>
      <c r="O132" s="35"/>
      <c r="P132" s="35"/>
      <c r="Q132" s="35">
        <v>2487</v>
      </c>
      <c r="R132" s="35"/>
      <c r="S132" s="35"/>
      <c r="T132" s="35"/>
      <c r="U132" s="35"/>
      <c r="V132" s="36"/>
      <c r="W132" s="35"/>
      <c r="X132" s="35"/>
      <c r="Y132" s="35"/>
    </row>
    <row r="133" spans="1:25" ht="15.75" customHeight="1" x14ac:dyDescent="0.25">
      <c r="A133" s="12" t="s">
        <v>387</v>
      </c>
      <c r="B133" s="33">
        <v>163821.32</v>
      </c>
      <c r="C133" s="35">
        <f t="shared" si="1"/>
        <v>9471.880000000001</v>
      </c>
      <c r="D133" s="35"/>
      <c r="E133" s="35"/>
      <c r="F133" s="35"/>
      <c r="G133" s="35"/>
      <c r="H133" s="35"/>
      <c r="I133" s="35"/>
      <c r="J133" s="35">
        <v>2322</v>
      </c>
      <c r="K133" s="35">
        <v>322</v>
      </c>
      <c r="L133" s="35"/>
      <c r="M133" s="35"/>
      <c r="N133" s="35"/>
      <c r="O133" s="35"/>
      <c r="P133" s="35"/>
      <c r="Q133" s="35"/>
      <c r="R133" s="35"/>
      <c r="S133" s="35"/>
      <c r="T133" s="35"/>
      <c r="U133" s="35">
        <f>3201.92+1408.47</f>
        <v>4610.3900000000003</v>
      </c>
      <c r="V133" s="36">
        <v>2217.4899999999998</v>
      </c>
      <c r="W133" s="35"/>
      <c r="X133" s="35"/>
      <c r="Y133" s="35"/>
    </row>
    <row r="134" spans="1:25" ht="15.75" customHeight="1" x14ac:dyDescent="0.25">
      <c r="A134" s="13" t="s">
        <v>388</v>
      </c>
      <c r="B134" s="33">
        <v>190562.88</v>
      </c>
      <c r="C134" s="35">
        <f t="shared" si="1"/>
        <v>12355.53</v>
      </c>
      <c r="D134" s="35"/>
      <c r="E134" s="35"/>
      <c r="F134" s="35"/>
      <c r="G134" s="35"/>
      <c r="H134" s="35"/>
      <c r="I134" s="35"/>
      <c r="J134" s="35">
        <v>1411.08</v>
      </c>
      <c r="K134" s="35"/>
      <c r="L134" s="35"/>
      <c r="M134" s="35"/>
      <c r="N134" s="35"/>
      <c r="O134" s="35"/>
      <c r="P134" s="35"/>
      <c r="Q134" s="35">
        <v>9546</v>
      </c>
      <c r="R134" s="35"/>
      <c r="S134" s="35">
        <v>1398.45</v>
      </c>
      <c r="T134" s="35"/>
      <c r="U134" s="35"/>
      <c r="V134" s="36"/>
      <c r="W134" s="35"/>
      <c r="X134" s="35"/>
      <c r="Y134" s="35"/>
    </row>
    <row r="135" spans="1:25" s="7" customFormat="1" ht="15.75" customHeight="1" x14ac:dyDescent="0.25">
      <c r="A135" s="13" t="s">
        <v>389</v>
      </c>
      <c r="B135" s="33">
        <v>111768.24</v>
      </c>
      <c r="C135" s="35">
        <f t="shared" si="1"/>
        <v>29279.239999999998</v>
      </c>
      <c r="D135" s="35"/>
      <c r="E135" s="35"/>
      <c r="F135" s="35"/>
      <c r="G135" s="35"/>
      <c r="H135" s="35"/>
      <c r="I135" s="35"/>
      <c r="J135" s="35"/>
      <c r="K135" s="35"/>
      <c r="L135" s="35">
        <v>5975</v>
      </c>
      <c r="M135" s="35"/>
      <c r="N135" s="35"/>
      <c r="O135" s="35"/>
      <c r="P135" s="35"/>
      <c r="Q135" s="35">
        <v>2342.3000000000002</v>
      </c>
      <c r="R135" s="35"/>
      <c r="S135" s="35">
        <f>3296.94+2310</f>
        <v>5606.9400000000005</v>
      </c>
      <c r="T135" s="35">
        <v>5653</v>
      </c>
      <c r="U135" s="35">
        <v>9702</v>
      </c>
      <c r="V135" s="36"/>
      <c r="W135" s="35"/>
      <c r="X135" s="35"/>
      <c r="Y135" s="35"/>
    </row>
    <row r="136" spans="1:25" ht="15.75" customHeight="1" x14ac:dyDescent="0.25">
      <c r="A136" s="13" t="s">
        <v>390</v>
      </c>
      <c r="B136" s="33">
        <v>301656.59999999998</v>
      </c>
      <c r="C136" s="35">
        <f t="shared" si="1"/>
        <v>97992.98000000001</v>
      </c>
      <c r="D136" s="35"/>
      <c r="E136" s="35"/>
      <c r="F136" s="35"/>
      <c r="G136" s="35"/>
      <c r="H136" s="35">
        <v>48417</v>
      </c>
      <c r="I136" s="35"/>
      <c r="J136" s="35">
        <f>1456.56+5544</f>
        <v>7000.5599999999995</v>
      </c>
      <c r="K136" s="35">
        <f>376.48+376.48+752.95</f>
        <v>1505.91</v>
      </c>
      <c r="L136" s="35"/>
      <c r="M136" s="35"/>
      <c r="N136" s="35"/>
      <c r="O136" s="35"/>
      <c r="P136" s="35"/>
      <c r="Q136" s="35">
        <v>41069.51</v>
      </c>
      <c r="R136" s="35"/>
      <c r="S136" s="35"/>
      <c r="T136" s="35"/>
      <c r="U136" s="35"/>
      <c r="V136" s="36"/>
      <c r="W136" s="35"/>
      <c r="X136" s="35"/>
      <c r="Y136" s="35"/>
    </row>
    <row r="137" spans="1:25" ht="15.75" customHeight="1" x14ac:dyDescent="0.25">
      <c r="A137" s="12" t="s">
        <v>285</v>
      </c>
      <c r="B137" s="33">
        <v>494588.88</v>
      </c>
      <c r="C137" s="35">
        <f t="shared" si="1"/>
        <v>190308.54399999999</v>
      </c>
      <c r="D137" s="35"/>
      <c r="E137" s="35"/>
      <c r="F137" s="35"/>
      <c r="G137" s="35">
        <f>48997+876.976</f>
        <v>49873.976000000002</v>
      </c>
      <c r="H137" s="35"/>
      <c r="I137" s="35"/>
      <c r="J137" s="35">
        <f>10196.8+2484.23</f>
        <v>12681.029999999999</v>
      </c>
      <c r="K137" s="35">
        <f>752.95+376.479+608</f>
        <v>1737.4290000000001</v>
      </c>
      <c r="L137" s="35">
        <v>376.47899999999998</v>
      </c>
      <c r="M137" s="35"/>
      <c r="N137" s="35">
        <v>12708.67</v>
      </c>
      <c r="O137" s="35"/>
      <c r="P137" s="35"/>
      <c r="Q137" s="35">
        <f>83950.4+5919.35</f>
        <v>89869.75</v>
      </c>
      <c r="R137" s="35"/>
      <c r="S137" s="35">
        <v>2841.7</v>
      </c>
      <c r="T137" s="35">
        <f>3017+2843.21</f>
        <v>5860.21</v>
      </c>
      <c r="U137" s="35">
        <v>14359.3</v>
      </c>
      <c r="V137" s="36"/>
      <c r="W137" s="35"/>
      <c r="X137" s="35"/>
      <c r="Y137" s="35"/>
    </row>
    <row r="138" spans="1:25" s="56" customFormat="1" ht="15.75" customHeight="1" x14ac:dyDescent="0.25">
      <c r="A138" s="13" t="s">
        <v>300</v>
      </c>
      <c r="B138" s="33">
        <v>205373.28</v>
      </c>
      <c r="C138" s="35">
        <f t="shared" si="1"/>
        <v>179671.30400000003</v>
      </c>
      <c r="D138" s="35"/>
      <c r="E138" s="35"/>
      <c r="F138" s="35"/>
      <c r="G138" s="35">
        <v>1250.67</v>
      </c>
      <c r="H138" s="35">
        <v>150990</v>
      </c>
      <c r="I138" s="35"/>
      <c r="J138" s="35"/>
      <c r="K138" s="35">
        <f>367.479+367+304</f>
        <v>1038.479</v>
      </c>
      <c r="L138" s="35">
        <v>22758.42</v>
      </c>
      <c r="M138" s="35"/>
      <c r="N138" s="35"/>
      <c r="O138" s="35"/>
      <c r="P138" s="35"/>
      <c r="Q138" s="35"/>
      <c r="R138" s="35"/>
      <c r="S138" s="35"/>
      <c r="T138" s="35">
        <v>1249.24</v>
      </c>
      <c r="U138" s="35">
        <v>114.295</v>
      </c>
      <c r="V138" s="36">
        <f>1931.2+339</f>
        <v>2270.1999999999998</v>
      </c>
      <c r="W138" s="35"/>
      <c r="X138" s="35"/>
      <c r="Y138" s="35"/>
    </row>
    <row r="139" spans="1:25" ht="15.75" customHeight="1" x14ac:dyDescent="0.25">
      <c r="A139" s="13" t="s">
        <v>299</v>
      </c>
      <c r="B139" s="33">
        <v>189902.76</v>
      </c>
      <c r="C139" s="35">
        <f t="shared" si="1"/>
        <v>48988.463999999993</v>
      </c>
      <c r="D139" s="35"/>
      <c r="E139" s="35"/>
      <c r="F139" s="35"/>
      <c r="G139" s="35"/>
      <c r="H139" s="35"/>
      <c r="I139" s="35"/>
      <c r="J139" s="35">
        <v>5767</v>
      </c>
      <c r="K139" s="35">
        <v>376.48</v>
      </c>
      <c r="L139" s="35"/>
      <c r="M139" s="35"/>
      <c r="N139" s="35"/>
      <c r="O139" s="35"/>
      <c r="P139" s="35"/>
      <c r="Q139" s="35">
        <f>9008.014+29618</f>
        <v>38626.013999999996</v>
      </c>
      <c r="R139" s="35"/>
      <c r="S139" s="35">
        <f>1395.23+345.74</f>
        <v>1740.97</v>
      </c>
      <c r="T139" s="35"/>
      <c r="U139" s="35">
        <v>2478</v>
      </c>
      <c r="V139" s="36"/>
      <c r="W139" s="35"/>
      <c r="X139" s="35"/>
      <c r="Y139" s="35"/>
    </row>
    <row r="140" spans="1:25" s="7" customFormat="1" ht="15.75" customHeight="1" x14ac:dyDescent="0.25">
      <c r="A140" s="13" t="s">
        <v>298</v>
      </c>
      <c r="B140" s="33">
        <v>323313.12</v>
      </c>
      <c r="C140" s="35">
        <f t="shared" si="1"/>
        <v>23364.302</v>
      </c>
      <c r="D140" s="35"/>
      <c r="E140" s="35"/>
      <c r="F140" s="35"/>
      <c r="G140" s="35"/>
      <c r="H140" s="35"/>
      <c r="I140" s="35"/>
      <c r="J140" s="35">
        <f>3127.87+3640+1755+4934.35</f>
        <v>13457.22</v>
      </c>
      <c r="K140" s="35"/>
      <c r="L140" s="35"/>
      <c r="M140" s="35"/>
      <c r="N140" s="35">
        <v>1505</v>
      </c>
      <c r="O140" s="35"/>
      <c r="P140" s="35"/>
      <c r="Q140" s="35"/>
      <c r="R140" s="35"/>
      <c r="S140" s="35">
        <v>4711.3</v>
      </c>
      <c r="T140" s="35">
        <f>171+2625</f>
        <v>2796</v>
      </c>
      <c r="U140" s="35">
        <v>894.78200000000004</v>
      </c>
      <c r="V140" s="36"/>
      <c r="W140" s="35"/>
      <c r="X140" s="35"/>
      <c r="Y140" s="35"/>
    </row>
    <row r="141" spans="1:25" s="7" customFormat="1" ht="15.75" customHeight="1" x14ac:dyDescent="0.25">
      <c r="A141" s="13" t="s">
        <v>297</v>
      </c>
      <c r="B141" s="33">
        <v>176153.53</v>
      </c>
      <c r="C141" s="35">
        <f t="shared" si="1"/>
        <v>27800.61</v>
      </c>
      <c r="D141" s="35"/>
      <c r="E141" s="35"/>
      <c r="F141" s="35"/>
      <c r="G141" s="35">
        <v>12879</v>
      </c>
      <c r="H141" s="35"/>
      <c r="I141" s="35"/>
      <c r="J141" s="35">
        <f>7919.61+1147</f>
        <v>9066.61</v>
      </c>
      <c r="K141" s="35">
        <v>367</v>
      </c>
      <c r="L141" s="35">
        <v>1795</v>
      </c>
      <c r="M141" s="35"/>
      <c r="N141" s="35"/>
      <c r="O141" s="35"/>
      <c r="P141" s="35"/>
      <c r="Q141" s="35">
        <v>3693</v>
      </c>
      <c r="R141" s="35"/>
      <c r="S141" s="35"/>
      <c r="T141" s="35"/>
      <c r="U141" s="35"/>
      <c r="V141" s="36"/>
      <c r="W141" s="35"/>
      <c r="X141" s="35"/>
      <c r="Y141" s="35"/>
    </row>
    <row r="142" spans="1:25" s="7" customFormat="1" ht="15.75" customHeight="1" x14ac:dyDescent="0.25">
      <c r="A142" s="13" t="s">
        <v>296</v>
      </c>
      <c r="B142" s="33">
        <v>481650</v>
      </c>
      <c r="C142" s="35">
        <f t="shared" si="1"/>
        <v>61308.28</v>
      </c>
      <c r="D142" s="35"/>
      <c r="E142" s="35"/>
      <c r="F142" s="35"/>
      <c r="G142" s="35">
        <f>1205.84+696.2</f>
        <v>1902.04</v>
      </c>
      <c r="H142" s="35"/>
      <c r="I142" s="35"/>
      <c r="J142" s="35">
        <f>10774.8+3640.3+572</f>
        <v>14987.099999999999</v>
      </c>
      <c r="K142" s="35">
        <f>376.48+366.98</f>
        <v>743.46</v>
      </c>
      <c r="L142" s="35"/>
      <c r="M142" s="35">
        <v>10774.6</v>
      </c>
      <c r="N142" s="35">
        <v>39175.449999999997</v>
      </c>
      <c r="O142" s="35"/>
      <c r="P142" s="35"/>
      <c r="Q142" s="35">
        <v>4134.72</v>
      </c>
      <c r="R142" s="35"/>
      <c r="S142" s="35">
        <v>365.51</v>
      </c>
      <c r="T142" s="35"/>
      <c r="U142" s="35"/>
      <c r="V142" s="36"/>
      <c r="W142" s="35"/>
      <c r="X142" s="35"/>
      <c r="Y142" s="35"/>
    </row>
    <row r="143" spans="1:25" s="7" customFormat="1" ht="15.75" customHeight="1" x14ac:dyDescent="0.25">
      <c r="A143" s="13" t="s">
        <v>295</v>
      </c>
      <c r="B143" s="33">
        <v>567488.64</v>
      </c>
      <c r="C143" s="35">
        <f t="shared" ref="C143:C206" si="2">D143+E143+G143+H143+I143+J143+K143+L143+N143+O143+P143+Q143+R143+S143+T143+U143+V143+W143+X143+Y143+F143</f>
        <v>391378.36000000004</v>
      </c>
      <c r="D143" s="35"/>
      <c r="E143" s="35"/>
      <c r="F143" s="35"/>
      <c r="G143" s="35"/>
      <c r="H143" s="35">
        <v>300780</v>
      </c>
      <c r="I143" s="35"/>
      <c r="J143" s="35">
        <f>2739+1279.88</f>
        <v>4018.88</v>
      </c>
      <c r="K143" s="35">
        <v>367.11</v>
      </c>
      <c r="L143" s="35"/>
      <c r="M143" s="35"/>
      <c r="N143" s="35">
        <v>39318.58</v>
      </c>
      <c r="O143" s="35"/>
      <c r="P143" s="35"/>
      <c r="Q143" s="35">
        <f>9479.94+4744.78+6213+19338.93</f>
        <v>39776.65</v>
      </c>
      <c r="R143" s="35"/>
      <c r="S143" s="35">
        <f>467.28+1953</f>
        <v>2420.2799999999997</v>
      </c>
      <c r="T143" s="35">
        <f>1873.86+1050</f>
        <v>2923.8599999999997</v>
      </c>
      <c r="U143" s="35"/>
      <c r="V143" s="36"/>
      <c r="W143" s="35"/>
      <c r="X143" s="35"/>
      <c r="Y143" s="35">
        <v>1773</v>
      </c>
    </row>
    <row r="144" spans="1:25" s="7" customFormat="1" ht="15.75" customHeight="1" x14ac:dyDescent="0.25">
      <c r="A144" s="13" t="s">
        <v>294</v>
      </c>
      <c r="B144" s="33">
        <v>315977.28000000003</v>
      </c>
      <c r="C144" s="35">
        <f t="shared" si="2"/>
        <v>35101.71</v>
      </c>
      <c r="D144" s="35"/>
      <c r="E144" s="35"/>
      <c r="F144" s="35"/>
      <c r="G144" s="35">
        <v>6125</v>
      </c>
      <c r="H144" s="35"/>
      <c r="I144" s="35"/>
      <c r="J144" s="35">
        <f>4270.12</f>
        <v>4270.12</v>
      </c>
      <c r="K144" s="35">
        <f>444.25+1056</f>
        <v>1500.25</v>
      </c>
      <c r="L144" s="35"/>
      <c r="M144" s="35"/>
      <c r="N144" s="35"/>
      <c r="O144" s="35"/>
      <c r="P144" s="35"/>
      <c r="Q144" s="35">
        <v>17209.5</v>
      </c>
      <c r="R144" s="35"/>
      <c r="S144" s="35">
        <f>1768.96+2091</f>
        <v>3859.96</v>
      </c>
      <c r="T144" s="35"/>
      <c r="U144" s="35"/>
      <c r="V144" s="36">
        <f>1080.88+1056</f>
        <v>2136.88</v>
      </c>
      <c r="W144" s="35"/>
      <c r="X144" s="35"/>
      <c r="Y144" s="35"/>
    </row>
    <row r="145" spans="1:25" s="7" customFormat="1" ht="15.75" customHeight="1" x14ac:dyDescent="0.25">
      <c r="A145" s="13" t="s">
        <v>293</v>
      </c>
      <c r="B145" s="33">
        <v>128174.64</v>
      </c>
      <c r="C145" s="35">
        <f t="shared" si="2"/>
        <v>78784.53</v>
      </c>
      <c r="D145" s="41">
        <v>1703.39</v>
      </c>
      <c r="E145" s="41"/>
      <c r="F145" s="41"/>
      <c r="G145" s="41"/>
      <c r="H145" s="41"/>
      <c r="I145" s="41"/>
      <c r="J145" s="41">
        <f>1601.93+3339.173+382.816+552.41</f>
        <v>5876.3289999999997</v>
      </c>
      <c r="K145" s="41"/>
      <c r="L145" s="41"/>
      <c r="M145" s="41"/>
      <c r="N145" s="41"/>
      <c r="O145" s="41">
        <v>4793.7619999999997</v>
      </c>
      <c r="P145" s="41"/>
      <c r="Q145" s="41">
        <f>39171.7+5402.74+6836.55+1939.92</f>
        <v>53350.909999999996</v>
      </c>
      <c r="R145" s="41"/>
      <c r="S145" s="41">
        <f>2278.9+3117.8+3693.71</f>
        <v>9090.41</v>
      </c>
      <c r="T145" s="41">
        <v>495.91899999999998</v>
      </c>
      <c r="U145" s="41"/>
      <c r="V145" s="42">
        <f>432.77+1080.88+879+1081.16</f>
        <v>3473.8100000000004</v>
      </c>
      <c r="W145" s="41"/>
      <c r="X145" s="41"/>
      <c r="Y145" s="41"/>
    </row>
    <row r="146" spans="1:25" ht="15.75" customHeight="1" x14ac:dyDescent="0.25">
      <c r="A146" s="13" t="s">
        <v>292</v>
      </c>
      <c r="B146" s="33">
        <v>116989.25</v>
      </c>
      <c r="C146" s="35">
        <f t="shared" si="2"/>
        <v>475</v>
      </c>
      <c r="D146" s="35"/>
      <c r="E146" s="35"/>
      <c r="F146" s="35"/>
      <c r="G146" s="35"/>
      <c r="H146" s="35"/>
      <c r="I146" s="35"/>
      <c r="J146" s="35">
        <v>367</v>
      </c>
      <c r="K146" s="35"/>
      <c r="L146" s="35"/>
      <c r="M146" s="35"/>
      <c r="N146" s="35"/>
      <c r="O146" s="35"/>
      <c r="P146" s="35"/>
      <c r="Q146" s="35"/>
      <c r="R146" s="35"/>
      <c r="S146" s="35"/>
      <c r="T146" s="35">
        <v>108</v>
      </c>
      <c r="U146" s="35"/>
      <c r="V146" s="36"/>
      <c r="W146" s="35"/>
      <c r="X146" s="35"/>
      <c r="Y146" s="35"/>
    </row>
    <row r="147" spans="1:25" s="7" customFormat="1" ht="15.75" customHeight="1" x14ac:dyDescent="0.25">
      <c r="A147" s="13" t="s">
        <v>5</v>
      </c>
      <c r="B147" s="33">
        <v>82704.36</v>
      </c>
      <c r="C147" s="35">
        <f t="shared" si="2"/>
        <v>38833.956999999995</v>
      </c>
      <c r="D147" s="35">
        <v>5099</v>
      </c>
      <c r="E147" s="35"/>
      <c r="F147" s="35"/>
      <c r="G147" s="35"/>
      <c r="H147" s="35"/>
      <c r="I147" s="35"/>
      <c r="J147" s="35">
        <f>490.9+1371.16</f>
        <v>1862.06</v>
      </c>
      <c r="K147" s="35"/>
      <c r="L147" s="35"/>
      <c r="M147" s="35"/>
      <c r="N147" s="35"/>
      <c r="O147" s="35"/>
      <c r="P147" s="35"/>
      <c r="Q147" s="35">
        <f>1901.216+646.64</f>
        <v>2547.8559999999998</v>
      </c>
      <c r="R147" s="35"/>
      <c r="S147" s="35">
        <f>526.422+3693.71</f>
        <v>4220.1319999999996</v>
      </c>
      <c r="T147" s="35">
        <f>2079.09+495.919+3471.56</f>
        <v>6046.5689999999995</v>
      </c>
      <c r="U147" s="35">
        <f>7309.04+7551.34+1081.16+1080.88</f>
        <v>17022.420000000002</v>
      </c>
      <c r="V147" s="36">
        <f>1541.5+494.42</f>
        <v>2035.92</v>
      </c>
      <c r="W147" s="35"/>
      <c r="X147" s="35"/>
      <c r="Y147" s="35"/>
    </row>
    <row r="148" spans="1:25" s="7" customFormat="1" ht="15.75" customHeight="1" x14ac:dyDescent="0.25">
      <c r="A148" s="13" t="s">
        <v>6</v>
      </c>
      <c r="B148" s="33">
        <v>257903.88</v>
      </c>
      <c r="C148" s="35">
        <f t="shared" si="2"/>
        <v>39969.959000000003</v>
      </c>
      <c r="D148" s="35"/>
      <c r="E148" s="35"/>
      <c r="F148" s="35"/>
      <c r="G148" s="35">
        <v>6300.89</v>
      </c>
      <c r="H148" s="35"/>
      <c r="I148" s="35"/>
      <c r="J148" s="35">
        <v>1988</v>
      </c>
      <c r="K148" s="35"/>
      <c r="L148" s="35">
        <v>13616.8</v>
      </c>
      <c r="M148" s="35"/>
      <c r="N148" s="35"/>
      <c r="O148" s="35"/>
      <c r="P148" s="35"/>
      <c r="Q148" s="35">
        <f>2629.41+7085</f>
        <v>9714.41</v>
      </c>
      <c r="R148" s="35"/>
      <c r="S148" s="35">
        <f>811.91+4447.1</f>
        <v>5259.01</v>
      </c>
      <c r="T148" s="35">
        <v>495.91899999999998</v>
      </c>
      <c r="U148" s="35"/>
      <c r="V148" s="36">
        <f>432.77+1081.16+1081</f>
        <v>2594.9300000000003</v>
      </c>
      <c r="W148" s="35"/>
      <c r="X148" s="35"/>
      <c r="Y148" s="35"/>
    </row>
    <row r="149" spans="1:25" s="7" customFormat="1" ht="15.75" customHeight="1" x14ac:dyDescent="0.25">
      <c r="A149" s="13" t="s">
        <v>7</v>
      </c>
      <c r="B149" s="33">
        <v>182689.44</v>
      </c>
      <c r="C149" s="35">
        <f t="shared" si="2"/>
        <v>41038.379000000001</v>
      </c>
      <c r="D149" s="35"/>
      <c r="E149" s="35"/>
      <c r="F149" s="35"/>
      <c r="G149" s="35"/>
      <c r="H149" s="35"/>
      <c r="I149" s="35"/>
      <c r="J149" s="35"/>
      <c r="K149" s="35">
        <f>376.48+933.651</f>
        <v>1310.1309999999999</v>
      </c>
      <c r="L149" s="35"/>
      <c r="M149" s="35"/>
      <c r="N149" s="35">
        <f>938.77+508</f>
        <v>1446.77</v>
      </c>
      <c r="O149" s="35"/>
      <c r="P149" s="35"/>
      <c r="Q149" s="35"/>
      <c r="R149" s="35">
        <v>18041</v>
      </c>
      <c r="S149" s="35">
        <v>3693.71</v>
      </c>
      <c r="T149" s="35">
        <f>496.107+495.919</f>
        <v>992.02600000000007</v>
      </c>
      <c r="U149" s="35">
        <v>358.73200000000003</v>
      </c>
      <c r="V149" s="36">
        <f>432.77+1081.16+1080.88</f>
        <v>2594.8100000000004</v>
      </c>
      <c r="W149" s="35"/>
      <c r="X149" s="35"/>
      <c r="Y149" s="35">
        <v>12601.2</v>
      </c>
    </row>
    <row r="150" spans="1:25" s="56" customFormat="1" ht="15.75" customHeight="1" x14ac:dyDescent="0.25">
      <c r="A150" s="12" t="s">
        <v>8</v>
      </c>
      <c r="B150" s="33">
        <v>64989.599999999999</v>
      </c>
      <c r="C150" s="35">
        <f t="shared" si="2"/>
        <v>34936.7984</v>
      </c>
      <c r="D150" s="35">
        <v>569.91639999999995</v>
      </c>
      <c r="E150" s="35"/>
      <c r="F150" s="35"/>
      <c r="G150" s="35"/>
      <c r="H150" s="35"/>
      <c r="I150" s="35"/>
      <c r="J150" s="35">
        <f>1820.7+989.713</f>
        <v>2810.413</v>
      </c>
      <c r="K150" s="35">
        <v>377.47899999999998</v>
      </c>
      <c r="L150" s="35"/>
      <c r="M150" s="35"/>
      <c r="N150" s="35"/>
      <c r="O150" s="35"/>
      <c r="P150" s="35"/>
      <c r="Q150" s="35">
        <f>6375.15+3521.12</f>
        <v>9896.27</v>
      </c>
      <c r="R150" s="35"/>
      <c r="S150" s="35">
        <v>3403.7</v>
      </c>
      <c r="T150" s="35"/>
      <c r="U150" s="35">
        <v>7546.31</v>
      </c>
      <c r="V150" s="36">
        <f>432.77+9899.94</f>
        <v>10332.710000000001</v>
      </c>
      <c r="W150" s="35"/>
      <c r="X150" s="35"/>
      <c r="Y150" s="35"/>
    </row>
    <row r="151" spans="1:25" ht="15.75" customHeight="1" x14ac:dyDescent="0.25">
      <c r="A151" s="12" t="s">
        <v>9</v>
      </c>
      <c r="B151" s="33">
        <v>205304.4</v>
      </c>
      <c r="C151" s="35">
        <f t="shared" si="2"/>
        <v>23545.100000000002</v>
      </c>
      <c r="D151" s="35"/>
      <c r="E151" s="35"/>
      <c r="F151" s="35"/>
      <c r="G151" s="35"/>
      <c r="H151" s="35"/>
      <c r="I151" s="35"/>
      <c r="J151" s="35">
        <v>7424.56</v>
      </c>
      <c r="K151" s="35">
        <f>376.48+10497.41</f>
        <v>10873.89</v>
      </c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6">
        <f>432.77+1080.88+1960</f>
        <v>3473.65</v>
      </c>
      <c r="W151" s="35"/>
      <c r="X151" s="35"/>
      <c r="Y151" s="35">
        <v>1773</v>
      </c>
    </row>
    <row r="152" spans="1:25" s="7" customFormat="1" ht="15.75" customHeight="1" x14ac:dyDescent="0.25">
      <c r="A152" s="13" t="s">
        <v>10</v>
      </c>
      <c r="B152" s="33">
        <v>668737.31999999995</v>
      </c>
      <c r="C152" s="35">
        <f t="shared" si="2"/>
        <v>80750.47</v>
      </c>
      <c r="D152" s="35"/>
      <c r="E152" s="35"/>
      <c r="F152" s="35"/>
      <c r="G152" s="35">
        <f>57163.95+1763</f>
        <v>58926.95</v>
      </c>
      <c r="H152" s="35"/>
      <c r="I152" s="35"/>
      <c r="J152" s="35">
        <v>3393.64</v>
      </c>
      <c r="K152" s="35"/>
      <c r="L152" s="35"/>
      <c r="M152" s="35"/>
      <c r="N152" s="35"/>
      <c r="O152" s="35"/>
      <c r="P152" s="35"/>
      <c r="Q152" s="35">
        <v>11941</v>
      </c>
      <c r="R152" s="35"/>
      <c r="S152" s="35">
        <f>4716.52+691.48</f>
        <v>5408</v>
      </c>
      <c r="T152" s="35"/>
      <c r="U152" s="35"/>
      <c r="V152" s="36">
        <v>1080.8800000000001</v>
      </c>
      <c r="W152" s="35"/>
      <c r="X152" s="35"/>
      <c r="Y152" s="35"/>
    </row>
    <row r="153" spans="1:25" s="7" customFormat="1" ht="15.75" customHeight="1" x14ac:dyDescent="0.25">
      <c r="A153" s="12" t="s">
        <v>11</v>
      </c>
      <c r="B153" s="33">
        <v>376214.16</v>
      </c>
      <c r="C153" s="35">
        <f t="shared" si="2"/>
        <v>107275.65000000002</v>
      </c>
      <c r="D153" s="35"/>
      <c r="E153" s="35"/>
      <c r="F153" s="35"/>
      <c r="G153" s="35"/>
      <c r="H153" s="35">
        <v>57912</v>
      </c>
      <c r="I153" s="35"/>
      <c r="J153" s="35">
        <v>566</v>
      </c>
      <c r="K153" s="35">
        <f>376.48+33592</f>
        <v>33968.480000000003</v>
      </c>
      <c r="L153" s="35"/>
      <c r="M153" s="35"/>
      <c r="N153" s="35"/>
      <c r="O153" s="35"/>
      <c r="P153" s="35"/>
      <c r="Q153" s="35">
        <f>4198.61+2804.86+4537</f>
        <v>11540.47</v>
      </c>
      <c r="R153" s="35"/>
      <c r="S153" s="35">
        <v>405.96</v>
      </c>
      <c r="T153" s="35"/>
      <c r="U153" s="35">
        <v>994.74</v>
      </c>
      <c r="V153" s="36">
        <v>1888</v>
      </c>
      <c r="W153" s="35"/>
      <c r="X153" s="35"/>
      <c r="Y153" s="35"/>
    </row>
    <row r="154" spans="1:25" s="7" customFormat="1" ht="15.75" customHeight="1" x14ac:dyDescent="0.25">
      <c r="A154" s="12" t="s">
        <v>12</v>
      </c>
      <c r="B154" s="33">
        <v>415047.72</v>
      </c>
      <c r="C154" s="35">
        <f t="shared" si="2"/>
        <v>18521.27</v>
      </c>
      <c r="D154" s="35"/>
      <c r="E154" s="35"/>
      <c r="F154" s="35"/>
      <c r="G154" s="35"/>
      <c r="H154" s="35"/>
      <c r="I154" s="35"/>
      <c r="J154" s="35">
        <v>3675.37</v>
      </c>
      <c r="K154" s="35"/>
      <c r="L154" s="35">
        <v>3112</v>
      </c>
      <c r="M154" s="35"/>
      <c r="N154" s="35">
        <v>2466</v>
      </c>
      <c r="O154" s="35"/>
      <c r="P154" s="35"/>
      <c r="Q154" s="35">
        <v>8580</v>
      </c>
      <c r="R154" s="35"/>
      <c r="S154" s="35"/>
      <c r="T154" s="35"/>
      <c r="U154" s="35">
        <v>687.9</v>
      </c>
      <c r="V154" s="36"/>
      <c r="W154" s="35"/>
      <c r="X154" s="35"/>
      <c r="Y154" s="35"/>
    </row>
    <row r="155" spans="1:25" s="7" customFormat="1" ht="15.75" customHeight="1" x14ac:dyDescent="0.25">
      <c r="A155" s="12" t="s">
        <v>13</v>
      </c>
      <c r="B155" s="33">
        <v>289711.08</v>
      </c>
      <c r="C155" s="35">
        <f t="shared" si="2"/>
        <v>87921.18</v>
      </c>
      <c r="D155" s="35"/>
      <c r="E155" s="35"/>
      <c r="F155" s="35"/>
      <c r="G155" s="35"/>
      <c r="H155" s="35"/>
      <c r="I155" s="35"/>
      <c r="J155" s="35">
        <f>2296.88+1255.52+2509.86</f>
        <v>6062.26</v>
      </c>
      <c r="K155" s="35">
        <v>752.95</v>
      </c>
      <c r="L155" s="35"/>
      <c r="M155" s="35"/>
      <c r="N155" s="35"/>
      <c r="O155" s="35"/>
      <c r="P155" s="35"/>
      <c r="Q155" s="35">
        <f>10970+6296.23+6822.725+660.635+5843.36+8671.98+12922.17</f>
        <v>52187.1</v>
      </c>
      <c r="R155" s="35"/>
      <c r="S155" s="35">
        <f>1623.8+2030.78+11909.29</f>
        <v>15563.87</v>
      </c>
      <c r="T155" s="35"/>
      <c r="U155" s="35">
        <v>13355</v>
      </c>
      <c r="V155" s="36"/>
      <c r="W155" s="35"/>
      <c r="X155" s="35"/>
      <c r="Y155" s="35"/>
    </row>
    <row r="156" spans="1:25" s="7" customFormat="1" ht="15.75" customHeight="1" x14ac:dyDescent="0.25">
      <c r="A156" s="12" t="s">
        <v>14</v>
      </c>
      <c r="B156" s="33">
        <v>394407.16</v>
      </c>
      <c r="C156" s="35">
        <f t="shared" si="2"/>
        <v>110826.99</v>
      </c>
      <c r="D156" s="35"/>
      <c r="E156" s="35"/>
      <c r="F156" s="35"/>
      <c r="G156" s="35">
        <f>3140.85+75380</f>
        <v>78520.850000000006</v>
      </c>
      <c r="H156" s="35"/>
      <c r="I156" s="35"/>
      <c r="J156" s="35">
        <f>2326.64+2333+9756</f>
        <v>14415.64</v>
      </c>
      <c r="K156" s="35">
        <v>1458.6</v>
      </c>
      <c r="L156" s="35"/>
      <c r="M156" s="35"/>
      <c r="N156" s="35"/>
      <c r="O156" s="35"/>
      <c r="P156" s="35"/>
      <c r="Q156" s="35">
        <v>3281</v>
      </c>
      <c r="R156" s="35"/>
      <c r="S156" s="35"/>
      <c r="T156" s="35">
        <v>3221.4</v>
      </c>
      <c r="U156" s="35">
        <v>7175.98</v>
      </c>
      <c r="V156" s="36">
        <f>865.52+1888</f>
        <v>2753.52</v>
      </c>
      <c r="W156" s="35"/>
      <c r="X156" s="35"/>
      <c r="Y156" s="35"/>
    </row>
    <row r="157" spans="1:25" s="7" customFormat="1" ht="15.75" customHeight="1" x14ac:dyDescent="0.25">
      <c r="A157" s="21" t="s">
        <v>15</v>
      </c>
      <c r="B157" s="34">
        <v>382511.49</v>
      </c>
      <c r="C157" s="35">
        <f t="shared" si="2"/>
        <v>38046.310999999994</v>
      </c>
      <c r="D157" s="38"/>
      <c r="E157" s="38"/>
      <c r="F157" s="38"/>
      <c r="G157" s="38"/>
      <c r="H157" s="38"/>
      <c r="I157" s="38"/>
      <c r="J157" s="38">
        <f>1921+1767.64</f>
        <v>3688.6400000000003</v>
      </c>
      <c r="K157" s="38">
        <v>301</v>
      </c>
      <c r="L157" s="38"/>
      <c r="M157" s="38">
        <f>5121.85+1920.7</f>
        <v>7042.55</v>
      </c>
      <c r="N157" s="38"/>
      <c r="O157" s="38"/>
      <c r="P157" s="38">
        <v>7406.86</v>
      </c>
      <c r="Q157" s="38">
        <f>5122+3763.02+2408.38</f>
        <v>11293.400000000001</v>
      </c>
      <c r="R157" s="38"/>
      <c r="S157" s="38">
        <v>10170</v>
      </c>
      <c r="T157" s="38"/>
      <c r="U157" s="38">
        <f>238.891+4082</f>
        <v>4320.8909999999996</v>
      </c>
      <c r="V157" s="39">
        <v>865.52</v>
      </c>
      <c r="W157" s="38"/>
      <c r="X157" s="38"/>
      <c r="Y157" s="38"/>
    </row>
    <row r="158" spans="1:25" s="7" customFormat="1" ht="15.75" customHeight="1" x14ac:dyDescent="0.25">
      <c r="A158" s="12" t="s">
        <v>16</v>
      </c>
      <c r="B158" s="33">
        <v>166868.85</v>
      </c>
      <c r="C158" s="35">
        <f t="shared" si="2"/>
        <v>193413.451</v>
      </c>
      <c r="D158" s="35"/>
      <c r="E158" s="35"/>
      <c r="F158" s="35"/>
      <c r="G158" s="35">
        <v>40831</v>
      </c>
      <c r="H158" s="35">
        <v>125786</v>
      </c>
      <c r="I158" s="35"/>
      <c r="J158" s="35"/>
      <c r="K158" s="35">
        <v>376.48</v>
      </c>
      <c r="L158" s="35"/>
      <c r="M158" s="35"/>
      <c r="N158" s="35">
        <v>11914.38</v>
      </c>
      <c r="O158" s="35"/>
      <c r="P158" s="35"/>
      <c r="Q158" s="35">
        <f>747+8756.957+2187</f>
        <v>11690.957</v>
      </c>
      <c r="R158" s="35"/>
      <c r="S158" s="35">
        <f>280.63+812.454</f>
        <v>1093.0839999999998</v>
      </c>
      <c r="T158" s="35">
        <v>435</v>
      </c>
      <c r="U158" s="35">
        <v>421.03</v>
      </c>
      <c r="V158" s="36">
        <v>865.52</v>
      </c>
      <c r="W158" s="35"/>
      <c r="X158" s="35"/>
      <c r="Y158" s="35"/>
    </row>
    <row r="159" spans="1:25" ht="15.75" customHeight="1" x14ac:dyDescent="0.25">
      <c r="A159" s="12" t="s">
        <v>17</v>
      </c>
      <c r="B159" s="33">
        <v>90134.3</v>
      </c>
      <c r="C159" s="35">
        <f t="shared" si="2"/>
        <v>12540.67</v>
      </c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>
        <v>2905</v>
      </c>
      <c r="O159" s="35"/>
      <c r="P159" s="35"/>
      <c r="Q159" s="35">
        <v>3303.15</v>
      </c>
      <c r="R159" s="35"/>
      <c r="S159" s="35">
        <v>1096.52</v>
      </c>
      <c r="T159" s="35"/>
      <c r="U159" s="35">
        <v>5236</v>
      </c>
      <c r="V159" s="36"/>
      <c r="W159" s="35"/>
      <c r="X159" s="35"/>
      <c r="Y159" s="35"/>
    </row>
    <row r="160" spans="1:25" s="7" customFormat="1" ht="15.75" customHeight="1" x14ac:dyDescent="0.25">
      <c r="A160" s="12" t="s">
        <v>18</v>
      </c>
      <c r="B160" s="33">
        <v>170278.33</v>
      </c>
      <c r="C160" s="35">
        <f t="shared" si="2"/>
        <v>46285.917000000001</v>
      </c>
      <c r="D160" s="35">
        <v>314</v>
      </c>
      <c r="E160" s="35"/>
      <c r="F160" s="35"/>
      <c r="G160" s="35">
        <f>37062</f>
        <v>37062</v>
      </c>
      <c r="H160" s="35"/>
      <c r="I160" s="35"/>
      <c r="J160" s="35"/>
      <c r="K160" s="35"/>
      <c r="L160" s="35">
        <v>1527</v>
      </c>
      <c r="M160" s="35"/>
      <c r="N160" s="35"/>
      <c r="O160" s="35"/>
      <c r="P160" s="35"/>
      <c r="Q160" s="35">
        <v>4005</v>
      </c>
      <c r="R160" s="35"/>
      <c r="S160" s="35">
        <v>345.91699999999997</v>
      </c>
      <c r="T160" s="35"/>
      <c r="U160" s="35">
        <v>3032</v>
      </c>
      <c r="V160" s="36"/>
      <c r="W160" s="35"/>
      <c r="X160" s="35"/>
      <c r="Y160" s="35"/>
    </row>
    <row r="161" spans="1:25" s="7" customFormat="1" ht="15.75" customHeight="1" x14ac:dyDescent="0.25">
      <c r="A161" s="12" t="s">
        <v>19</v>
      </c>
      <c r="B161" s="33">
        <v>127253.74</v>
      </c>
      <c r="C161" s="35">
        <f t="shared" si="2"/>
        <v>6937.95</v>
      </c>
      <c r="D161" s="35"/>
      <c r="E161" s="35"/>
      <c r="F161" s="35"/>
      <c r="G161" s="35"/>
      <c r="H161" s="35"/>
      <c r="I161" s="35"/>
      <c r="J161" s="35"/>
      <c r="K161" s="35">
        <v>752.95</v>
      </c>
      <c r="L161" s="35"/>
      <c r="M161" s="35"/>
      <c r="N161" s="35"/>
      <c r="O161" s="35"/>
      <c r="P161" s="35"/>
      <c r="Q161" s="35"/>
      <c r="R161" s="35">
        <v>5773</v>
      </c>
      <c r="S161" s="35"/>
      <c r="T161" s="35"/>
      <c r="U161" s="35">
        <v>412</v>
      </c>
      <c r="V161" s="36"/>
      <c r="W161" s="35"/>
      <c r="X161" s="35"/>
      <c r="Y161" s="35"/>
    </row>
    <row r="162" spans="1:25" s="9" customFormat="1" ht="15.75" customHeight="1" x14ac:dyDescent="0.25">
      <c r="A162" s="57" t="s">
        <v>20</v>
      </c>
      <c r="B162" s="45">
        <v>316668.71999999997</v>
      </c>
      <c r="C162" s="46">
        <f t="shared" si="2"/>
        <v>68959.165999999983</v>
      </c>
      <c r="D162" s="46"/>
      <c r="E162" s="46"/>
      <c r="F162" s="46"/>
      <c r="G162" s="35">
        <f>2157.182+51509</f>
        <v>53666.182000000001</v>
      </c>
      <c r="H162" s="46"/>
      <c r="I162" s="46"/>
      <c r="J162" s="46">
        <f>788.414+2774.18</f>
        <v>3562.5940000000001</v>
      </c>
      <c r="K162" s="46">
        <f>2257.4+376.48+376.48</f>
        <v>3010.36</v>
      </c>
      <c r="L162" s="46"/>
      <c r="M162" s="46"/>
      <c r="N162" s="46"/>
      <c r="O162" s="46"/>
      <c r="P162" s="46"/>
      <c r="Q162" s="46">
        <v>1969.42</v>
      </c>
      <c r="R162" s="46"/>
      <c r="S162" s="46">
        <v>1096.52</v>
      </c>
      <c r="T162" s="46">
        <v>1147.54</v>
      </c>
      <c r="U162" s="46">
        <f>2678.51+97</f>
        <v>2775.51</v>
      </c>
      <c r="V162" s="47">
        <f>865.52+865.52</f>
        <v>1731.04</v>
      </c>
      <c r="W162" s="46"/>
      <c r="X162" s="46"/>
      <c r="Y162" s="46"/>
    </row>
    <row r="163" spans="1:25" ht="15.75" customHeight="1" x14ac:dyDescent="0.25">
      <c r="A163" s="12" t="s">
        <v>21</v>
      </c>
      <c r="B163" s="33">
        <v>341004.6</v>
      </c>
      <c r="C163" s="35">
        <f t="shared" si="2"/>
        <v>3022755.07</v>
      </c>
      <c r="D163" s="35"/>
      <c r="E163" s="35"/>
      <c r="F163" s="35">
        <v>2866230</v>
      </c>
      <c r="G163" s="35">
        <v>82918</v>
      </c>
      <c r="H163" s="35"/>
      <c r="I163" s="35"/>
      <c r="J163" s="35">
        <f>3035+1820.74+3022</f>
        <v>7877.74</v>
      </c>
      <c r="K163" s="35"/>
      <c r="L163" s="35"/>
      <c r="M163" s="35"/>
      <c r="N163" s="35">
        <v>248.98</v>
      </c>
      <c r="O163" s="35"/>
      <c r="P163" s="35"/>
      <c r="Q163" s="35">
        <f>3361.82+7937</f>
        <v>11298.82</v>
      </c>
      <c r="R163" s="35"/>
      <c r="S163" s="35"/>
      <c r="T163" s="35"/>
      <c r="U163" s="35"/>
      <c r="V163" s="36">
        <f>2842.51+4255</f>
        <v>7097.51</v>
      </c>
      <c r="W163" s="35">
        <v>47084.02</v>
      </c>
      <c r="X163" s="35"/>
      <c r="Y163" s="35"/>
    </row>
    <row r="164" spans="1:25" s="7" customFormat="1" ht="15.75" customHeight="1" x14ac:dyDescent="0.25">
      <c r="A164" s="12" t="s">
        <v>22</v>
      </c>
      <c r="B164" s="33">
        <v>346008.24</v>
      </c>
      <c r="C164" s="35">
        <f t="shared" si="2"/>
        <v>420481.99200000003</v>
      </c>
      <c r="D164" s="35">
        <v>1736.46</v>
      </c>
      <c r="E164" s="35"/>
      <c r="F164" s="35"/>
      <c r="G164" s="35">
        <v>275138</v>
      </c>
      <c r="H164" s="35"/>
      <c r="I164" s="35"/>
      <c r="J164" s="35">
        <f>2379.85+4665</f>
        <v>7044.85</v>
      </c>
      <c r="K164" s="35"/>
      <c r="L164" s="35">
        <f>20423.7+17147.7+9045</f>
        <v>46616.4</v>
      </c>
      <c r="M164" s="35"/>
      <c r="N164" s="35">
        <v>4420.6499999999996</v>
      </c>
      <c r="O164" s="35">
        <f>5780.91+61701.03</f>
        <v>67481.94</v>
      </c>
      <c r="P164" s="35"/>
      <c r="Q164" s="35"/>
      <c r="R164" s="35"/>
      <c r="S164" s="35"/>
      <c r="T164" s="35">
        <f>579.899+830</f>
        <v>1409.8989999999999</v>
      </c>
      <c r="U164" s="35">
        <v>260.27300000000002</v>
      </c>
      <c r="V164" s="36">
        <f>865.52+15508</f>
        <v>16373.52</v>
      </c>
      <c r="W164" s="35"/>
      <c r="X164" s="35"/>
      <c r="Y164" s="35"/>
    </row>
    <row r="165" spans="1:25" s="56" customFormat="1" ht="15.75" customHeight="1" x14ac:dyDescent="0.25">
      <c r="A165" s="12" t="s">
        <v>23</v>
      </c>
      <c r="B165" s="33">
        <v>331854</v>
      </c>
      <c r="C165" s="35">
        <f t="shared" si="2"/>
        <v>105456.954</v>
      </c>
      <c r="D165" s="35"/>
      <c r="E165" s="35"/>
      <c r="F165" s="35"/>
      <c r="G165" s="35"/>
      <c r="H165" s="35">
        <v>21162</v>
      </c>
      <c r="I165" s="35"/>
      <c r="J165" s="35">
        <v>5202.4399999999996</v>
      </c>
      <c r="K165" s="35"/>
      <c r="L165" s="35"/>
      <c r="M165" s="35"/>
      <c r="N165" s="35">
        <v>14876.779</v>
      </c>
      <c r="O165" s="35">
        <v>16691</v>
      </c>
      <c r="P165" s="35"/>
      <c r="Q165" s="40">
        <f>3383.02+4098.85+19974.3+1994.2</f>
        <v>29450.37</v>
      </c>
      <c r="R165" s="35"/>
      <c r="S165" s="35">
        <f>525.96+526.422+3693.71</f>
        <v>4746.0920000000006</v>
      </c>
      <c r="T165" s="36">
        <f>496.107+495.919+9497</f>
        <v>10489.026</v>
      </c>
      <c r="U165" s="35">
        <v>244.43700000000001</v>
      </c>
      <c r="V165" s="40">
        <f>432.77+1081.16+1080.88</f>
        <v>2594.8100000000004</v>
      </c>
      <c r="W165" s="35"/>
      <c r="X165" s="35"/>
      <c r="Y165" s="35"/>
    </row>
    <row r="166" spans="1:25" s="7" customFormat="1" ht="15.75" customHeight="1" x14ac:dyDescent="0.25">
      <c r="A166" s="12" t="s">
        <v>24</v>
      </c>
      <c r="B166" s="33">
        <v>351307.98</v>
      </c>
      <c r="C166" s="35">
        <f t="shared" si="2"/>
        <v>208433.65999999997</v>
      </c>
      <c r="D166" s="35"/>
      <c r="E166" s="35"/>
      <c r="F166" s="35"/>
      <c r="G166" s="35"/>
      <c r="H166" s="35"/>
      <c r="I166" s="35"/>
      <c r="J166" s="35">
        <v>1255.52</v>
      </c>
      <c r="K166" s="35"/>
      <c r="L166" s="35">
        <v>4188</v>
      </c>
      <c r="M166" s="35"/>
      <c r="N166" s="35"/>
      <c r="O166" s="35">
        <v>4378.47</v>
      </c>
      <c r="P166" s="35"/>
      <c r="Q166" s="35">
        <f>8308.07+26007</f>
        <v>34315.07</v>
      </c>
      <c r="R166" s="35"/>
      <c r="S166" s="35"/>
      <c r="T166" s="35">
        <v>455.48</v>
      </c>
      <c r="U166" s="35">
        <v>112.1</v>
      </c>
      <c r="V166" s="36"/>
      <c r="W166" s="35"/>
      <c r="X166" s="35">
        <v>163729.01999999999</v>
      </c>
      <c r="Y166" s="35"/>
    </row>
    <row r="167" spans="1:25" s="7" customFormat="1" ht="15.75" customHeight="1" x14ac:dyDescent="0.25">
      <c r="A167" s="12" t="s">
        <v>25</v>
      </c>
      <c r="B167" s="33">
        <v>434589.23</v>
      </c>
      <c r="C167" s="35">
        <f t="shared" si="2"/>
        <v>3793.7559999999999</v>
      </c>
      <c r="D167" s="35"/>
      <c r="E167" s="35"/>
      <c r="F167" s="35"/>
      <c r="G167" s="35"/>
      <c r="H167" s="35"/>
      <c r="I167" s="35"/>
      <c r="J167" s="35">
        <f>761.9+969.96</f>
        <v>1731.8600000000001</v>
      </c>
      <c r="K167" s="35"/>
      <c r="L167" s="35"/>
      <c r="M167" s="35"/>
      <c r="N167" s="35"/>
      <c r="O167" s="35"/>
      <c r="P167" s="35"/>
      <c r="Q167" s="35">
        <v>1679.14</v>
      </c>
      <c r="R167" s="35"/>
      <c r="S167" s="35"/>
      <c r="T167" s="35">
        <v>252.614</v>
      </c>
      <c r="U167" s="35">
        <v>130.142</v>
      </c>
      <c r="V167" s="36"/>
      <c r="W167" s="35"/>
      <c r="X167" s="35"/>
      <c r="Y167" s="35"/>
    </row>
    <row r="168" spans="1:25" ht="15.75" customHeight="1" x14ac:dyDescent="0.25">
      <c r="A168" s="12" t="s">
        <v>26</v>
      </c>
      <c r="B168" s="33">
        <v>204140.28</v>
      </c>
      <c r="C168" s="35">
        <f t="shared" si="2"/>
        <v>76980.209999999992</v>
      </c>
      <c r="D168" s="35"/>
      <c r="E168" s="35"/>
      <c r="F168" s="35"/>
      <c r="G168" s="35"/>
      <c r="H168" s="35"/>
      <c r="I168" s="35"/>
      <c r="J168" s="35">
        <v>7612.84</v>
      </c>
      <c r="K168" s="35">
        <v>933.38</v>
      </c>
      <c r="L168" s="35"/>
      <c r="M168" s="35"/>
      <c r="N168" s="35"/>
      <c r="O168" s="35"/>
      <c r="P168" s="35"/>
      <c r="Q168" s="35">
        <v>33512.6</v>
      </c>
      <c r="R168" s="35"/>
      <c r="S168" s="35">
        <v>29303.74</v>
      </c>
      <c r="T168" s="35">
        <v>1436</v>
      </c>
      <c r="U168" s="35"/>
      <c r="V168" s="36">
        <f>432.77+3748.88</f>
        <v>4181.6499999999996</v>
      </c>
      <c r="W168" s="35"/>
      <c r="X168" s="35"/>
      <c r="Y168" s="35"/>
    </row>
    <row r="169" spans="1:25" s="7" customFormat="1" ht="15.75" customHeight="1" x14ac:dyDescent="0.25">
      <c r="A169" s="12" t="s">
        <v>27</v>
      </c>
      <c r="B169" s="33">
        <v>1039684.98</v>
      </c>
      <c r="C169" s="35">
        <f t="shared" si="2"/>
        <v>114799.05800000002</v>
      </c>
      <c r="D169" s="35"/>
      <c r="E169" s="35"/>
      <c r="F169" s="35"/>
      <c r="G169" s="35">
        <v>69726</v>
      </c>
      <c r="H169" s="35"/>
      <c r="I169" s="35"/>
      <c r="J169" s="35">
        <v>10974.49</v>
      </c>
      <c r="K169" s="35">
        <v>1039.6980000000001</v>
      </c>
      <c r="L169" s="35">
        <v>10200.5</v>
      </c>
      <c r="M169" s="35"/>
      <c r="N169" s="35"/>
      <c r="O169" s="35"/>
      <c r="P169" s="35"/>
      <c r="Q169" s="35">
        <f>1702.74+4134.72</f>
        <v>5837.46</v>
      </c>
      <c r="R169" s="35">
        <v>2620</v>
      </c>
      <c r="S169" s="35">
        <f>3647.96+628</f>
        <v>4275.96</v>
      </c>
      <c r="T169" s="35"/>
      <c r="U169" s="35">
        <v>4581.2299999999996</v>
      </c>
      <c r="V169" s="36">
        <v>5543.72</v>
      </c>
      <c r="W169" s="35"/>
      <c r="X169" s="35"/>
      <c r="Y169" s="35"/>
    </row>
    <row r="170" spans="1:25" ht="15.75" customHeight="1" x14ac:dyDescent="0.25">
      <c r="A170" s="13" t="s">
        <v>28</v>
      </c>
      <c r="B170" s="33">
        <v>67764.479999999996</v>
      </c>
      <c r="C170" s="35">
        <f t="shared" si="2"/>
        <v>186010.726</v>
      </c>
      <c r="D170" s="35"/>
      <c r="E170" s="35"/>
      <c r="F170" s="35"/>
      <c r="G170" s="35">
        <f>6297.31+2336</f>
        <v>8633.3100000000013</v>
      </c>
      <c r="H170" s="35">
        <v>112013</v>
      </c>
      <c r="I170" s="35"/>
      <c r="J170" s="35"/>
      <c r="K170" s="35">
        <v>752.95</v>
      </c>
      <c r="L170" s="35"/>
      <c r="M170" s="35"/>
      <c r="N170" s="35">
        <f>2035.94+17188.328</f>
        <v>19224.268</v>
      </c>
      <c r="O170" s="35">
        <v>30439</v>
      </c>
      <c r="P170" s="35"/>
      <c r="Q170" s="35">
        <f>4358.578+10147</f>
        <v>14505.578000000001</v>
      </c>
      <c r="R170" s="35"/>
      <c r="S170" s="35"/>
      <c r="T170" s="35"/>
      <c r="U170" s="35">
        <v>442.62</v>
      </c>
      <c r="V170" s="36"/>
      <c r="W170" s="35"/>
      <c r="X170" s="35"/>
      <c r="Y170" s="35"/>
    </row>
    <row r="171" spans="1:25" s="7" customFormat="1" ht="15.75" customHeight="1" x14ac:dyDescent="0.25">
      <c r="A171" s="13" t="s">
        <v>29</v>
      </c>
      <c r="B171" s="33">
        <v>47891.28</v>
      </c>
      <c r="C171" s="35">
        <f t="shared" si="2"/>
        <v>27011.539999999997</v>
      </c>
      <c r="D171" s="35"/>
      <c r="E171" s="35"/>
      <c r="F171" s="35"/>
      <c r="G171" s="35">
        <f>16333+5117.92+5118</f>
        <v>26568.92</v>
      </c>
      <c r="H171" s="35"/>
      <c r="I171" s="35"/>
      <c r="J171" s="35"/>
      <c r="K171" s="40"/>
      <c r="L171" s="35"/>
      <c r="M171" s="35"/>
      <c r="N171" s="35"/>
      <c r="O171" s="35"/>
      <c r="P171" s="35"/>
      <c r="Q171" s="35"/>
      <c r="R171" s="35"/>
      <c r="S171" s="35"/>
      <c r="T171" s="35"/>
      <c r="U171" s="35">
        <v>442.62</v>
      </c>
      <c r="V171" s="40"/>
      <c r="W171" s="35"/>
      <c r="X171" s="35"/>
      <c r="Y171" s="35"/>
    </row>
    <row r="172" spans="1:25" ht="15.75" customHeight="1" x14ac:dyDescent="0.25">
      <c r="A172" s="13" t="s">
        <v>30</v>
      </c>
      <c r="B172" s="33">
        <v>69982.080000000002</v>
      </c>
      <c r="C172" s="35">
        <f t="shared" si="2"/>
        <v>4238</v>
      </c>
      <c r="D172" s="35"/>
      <c r="E172" s="35"/>
      <c r="F172" s="35"/>
      <c r="G172" s="35"/>
      <c r="H172" s="35"/>
      <c r="I172" s="35"/>
      <c r="J172" s="35"/>
      <c r="K172" s="35">
        <v>1200</v>
      </c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6">
        <v>3038</v>
      </c>
      <c r="W172" s="35"/>
      <c r="X172" s="35"/>
      <c r="Y172" s="35"/>
    </row>
    <row r="173" spans="1:25" ht="15.75" customHeight="1" x14ac:dyDescent="0.25">
      <c r="A173" s="13" t="s">
        <v>31</v>
      </c>
      <c r="B173" s="33">
        <v>125577.48</v>
      </c>
      <c r="C173" s="35">
        <f t="shared" si="2"/>
        <v>60894.11099999999</v>
      </c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>
        <f>1423.03+27527.93+2012.974+5010</f>
        <v>35973.933999999994</v>
      </c>
      <c r="R173" s="35"/>
      <c r="S173" s="35">
        <v>4325.74</v>
      </c>
      <c r="T173" s="35">
        <v>661.23699999999997</v>
      </c>
      <c r="U173" s="35">
        <v>2018</v>
      </c>
      <c r="V173" s="40">
        <f>15955.2+1960</f>
        <v>17915.2</v>
      </c>
      <c r="W173" s="35"/>
      <c r="X173" s="35"/>
      <c r="Y173" s="35"/>
    </row>
    <row r="174" spans="1:25" ht="15.75" customHeight="1" x14ac:dyDescent="0.25">
      <c r="A174" s="13" t="s">
        <v>32</v>
      </c>
      <c r="B174" s="33">
        <v>278017.44</v>
      </c>
      <c r="C174" s="35">
        <f t="shared" si="2"/>
        <v>7948.0444000000007</v>
      </c>
      <c r="D174" s="35"/>
      <c r="E174" s="35"/>
      <c r="F174" s="35"/>
      <c r="G174" s="35"/>
      <c r="H174" s="35"/>
      <c r="I174" s="35"/>
      <c r="J174" s="35">
        <v>1892.73</v>
      </c>
      <c r="K174" s="35">
        <v>601</v>
      </c>
      <c r="L174" s="35"/>
      <c r="M174" s="35"/>
      <c r="N174" s="35">
        <v>1090.8273999999999</v>
      </c>
      <c r="O174" s="35"/>
      <c r="P174" s="35"/>
      <c r="Q174" s="35"/>
      <c r="R174" s="35"/>
      <c r="S174" s="35"/>
      <c r="T174" s="35">
        <f>1309.48+661.237</f>
        <v>1970.7170000000001</v>
      </c>
      <c r="U174" s="35"/>
      <c r="V174" s="36">
        <f>432.77+1960</f>
        <v>2392.77</v>
      </c>
      <c r="W174" s="35"/>
      <c r="X174" s="35"/>
      <c r="Y174" s="35"/>
    </row>
    <row r="175" spans="1:25" s="7" customFormat="1" ht="15.75" customHeight="1" x14ac:dyDescent="0.25">
      <c r="A175" s="13" t="s">
        <v>33</v>
      </c>
      <c r="B175" s="33">
        <v>74996.160000000003</v>
      </c>
      <c r="C175" s="35">
        <f t="shared" si="2"/>
        <v>8913.61</v>
      </c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>
        <v>5996</v>
      </c>
      <c r="R175" s="35"/>
      <c r="S175" s="35">
        <v>525.96</v>
      </c>
      <c r="T175" s="35"/>
      <c r="U175" s="35"/>
      <c r="V175" s="36">
        <f>432.77+1958.88</f>
        <v>2391.65</v>
      </c>
      <c r="W175" s="35"/>
      <c r="X175" s="35"/>
      <c r="Y175" s="35"/>
    </row>
    <row r="176" spans="1:25" ht="15.75" customHeight="1" x14ac:dyDescent="0.25">
      <c r="A176" s="13" t="s">
        <v>34</v>
      </c>
      <c r="B176" s="33">
        <v>197622.6</v>
      </c>
      <c r="C176" s="35">
        <f t="shared" si="2"/>
        <v>22152.309000000001</v>
      </c>
      <c r="D176" s="35"/>
      <c r="E176" s="35"/>
      <c r="F176" s="35"/>
      <c r="G176" s="35"/>
      <c r="H176" s="35"/>
      <c r="I176" s="35"/>
      <c r="J176" s="35">
        <v>1135.6400000000001</v>
      </c>
      <c r="K176" s="35"/>
      <c r="L176" s="35"/>
      <c r="M176" s="35"/>
      <c r="N176" s="35"/>
      <c r="O176" s="35"/>
      <c r="P176" s="35"/>
      <c r="Q176" s="35">
        <v>1575</v>
      </c>
      <c r="R176" s="35"/>
      <c r="S176" s="35">
        <v>4537.1000000000004</v>
      </c>
      <c r="T176" s="35">
        <v>495.91899999999998</v>
      </c>
      <c r="U176" s="35">
        <v>11007</v>
      </c>
      <c r="V176" s="36">
        <f>432.77+2968.88</f>
        <v>3401.65</v>
      </c>
      <c r="W176" s="35"/>
      <c r="X176" s="35"/>
      <c r="Y176" s="35"/>
    </row>
    <row r="177" spans="1:25" ht="15.75" customHeight="1" x14ac:dyDescent="0.25">
      <c r="A177" s="13" t="s">
        <v>35</v>
      </c>
      <c r="B177" s="33">
        <v>137945.16</v>
      </c>
      <c r="C177" s="35">
        <f t="shared" si="2"/>
        <v>11551.859</v>
      </c>
      <c r="D177" s="35"/>
      <c r="E177" s="35"/>
      <c r="F177" s="35"/>
      <c r="G177" s="35"/>
      <c r="H177" s="35"/>
      <c r="I177" s="35"/>
      <c r="J177" s="35">
        <v>3972.88</v>
      </c>
      <c r="K177" s="35"/>
      <c r="L177" s="35">
        <v>530</v>
      </c>
      <c r="M177" s="35"/>
      <c r="N177" s="35"/>
      <c r="O177" s="35"/>
      <c r="P177" s="35"/>
      <c r="Q177" s="35"/>
      <c r="R177" s="35"/>
      <c r="S177" s="35">
        <v>4160.41</v>
      </c>
      <c r="T177" s="35">
        <v>495.91899999999998</v>
      </c>
      <c r="U177" s="35"/>
      <c r="V177" s="36">
        <f>432.77+1959.88</f>
        <v>2392.65</v>
      </c>
      <c r="W177" s="35"/>
      <c r="X177" s="35"/>
      <c r="Y177" s="35"/>
    </row>
    <row r="178" spans="1:25" ht="15.75" customHeight="1" x14ac:dyDescent="0.25">
      <c r="A178" s="13" t="s">
        <v>36</v>
      </c>
      <c r="B178" s="33">
        <v>18769.560000000001</v>
      </c>
      <c r="C178" s="35">
        <f t="shared" si="2"/>
        <v>7444.6399999999994</v>
      </c>
      <c r="D178" s="35"/>
      <c r="E178" s="35"/>
      <c r="F178" s="35"/>
      <c r="G178" s="35"/>
      <c r="H178" s="35"/>
      <c r="I178" s="35"/>
      <c r="J178" s="35"/>
      <c r="K178" s="35">
        <v>933.65099999999995</v>
      </c>
      <c r="L178" s="35"/>
      <c r="M178" s="35"/>
      <c r="N178" s="35"/>
      <c r="O178" s="35">
        <v>1101.27</v>
      </c>
      <c r="P178" s="35"/>
      <c r="Q178" s="35"/>
      <c r="R178" s="35"/>
      <c r="S178" s="35">
        <v>4913.8</v>
      </c>
      <c r="T178" s="35">
        <v>495.91899999999998</v>
      </c>
      <c r="U178" s="35"/>
      <c r="V178" s="35"/>
      <c r="W178" s="35"/>
      <c r="X178" s="35"/>
      <c r="Y178" s="35"/>
    </row>
    <row r="179" spans="1:25" s="7" customFormat="1" ht="15.75" customHeight="1" x14ac:dyDescent="0.25">
      <c r="A179" s="13" t="s">
        <v>37</v>
      </c>
      <c r="B179" s="33">
        <v>116973.72</v>
      </c>
      <c r="C179" s="35">
        <f t="shared" si="2"/>
        <v>28102.520000000004</v>
      </c>
      <c r="D179" s="35"/>
      <c r="E179" s="35"/>
      <c r="F179" s="35"/>
      <c r="G179" s="35">
        <v>436.18</v>
      </c>
      <c r="H179" s="35"/>
      <c r="I179" s="35"/>
      <c r="J179" s="35">
        <v>6189.88</v>
      </c>
      <c r="K179" s="35"/>
      <c r="L179" s="35"/>
      <c r="M179" s="35"/>
      <c r="N179" s="35">
        <f>1711.15+1695.66</f>
        <v>3406.8100000000004</v>
      </c>
      <c r="O179" s="35"/>
      <c r="P179" s="35"/>
      <c r="Q179" s="35">
        <v>15677</v>
      </c>
      <c r="R179" s="35"/>
      <c r="S179" s="35"/>
      <c r="T179" s="35"/>
      <c r="U179" s="35"/>
      <c r="V179" s="36">
        <f>432.77+1959.88</f>
        <v>2392.65</v>
      </c>
      <c r="W179" s="35"/>
      <c r="X179" s="35"/>
      <c r="Y179" s="35"/>
    </row>
    <row r="180" spans="1:25" s="7" customFormat="1" ht="15.75" customHeight="1" x14ac:dyDescent="0.25">
      <c r="A180" s="13" t="s">
        <v>38</v>
      </c>
      <c r="B180" s="33">
        <v>167422.44</v>
      </c>
      <c r="C180" s="35">
        <f t="shared" si="2"/>
        <v>37781.478999999999</v>
      </c>
      <c r="D180" s="35"/>
      <c r="E180" s="35"/>
      <c r="F180" s="35"/>
      <c r="G180" s="35"/>
      <c r="H180" s="35"/>
      <c r="I180" s="35"/>
      <c r="J180" s="35">
        <v>757.38</v>
      </c>
      <c r="K180" s="35"/>
      <c r="L180" s="35"/>
      <c r="M180" s="35"/>
      <c r="N180" s="35"/>
      <c r="O180" s="35"/>
      <c r="P180" s="35"/>
      <c r="Q180" s="35">
        <v>17306</v>
      </c>
      <c r="R180" s="35"/>
      <c r="S180" s="35">
        <f>2399.3+3572.34+315</f>
        <v>6286.64</v>
      </c>
      <c r="T180" s="35">
        <f>495.919+1818.38</f>
        <v>2314.299</v>
      </c>
      <c r="U180" s="35">
        <v>8288.6</v>
      </c>
      <c r="V180" s="36">
        <f>868.68+1959.88</f>
        <v>2828.56</v>
      </c>
      <c r="W180" s="35"/>
      <c r="X180" s="35"/>
      <c r="Y180" s="35"/>
    </row>
    <row r="181" spans="1:25" s="7" customFormat="1" ht="15.75" customHeight="1" x14ac:dyDescent="0.25">
      <c r="A181" s="13" t="s">
        <v>39</v>
      </c>
      <c r="B181" s="33">
        <v>73371.72</v>
      </c>
      <c r="C181" s="35">
        <f t="shared" si="2"/>
        <v>901018.57200000004</v>
      </c>
      <c r="D181" s="35"/>
      <c r="E181" s="35">
        <v>887462</v>
      </c>
      <c r="F181" s="35"/>
      <c r="G181" s="35"/>
      <c r="H181" s="35"/>
      <c r="I181" s="35"/>
      <c r="J181" s="35">
        <f>4638+4152.42+1069</f>
        <v>9859.42</v>
      </c>
      <c r="K181" s="35">
        <v>366.98</v>
      </c>
      <c r="L181" s="35"/>
      <c r="M181" s="35"/>
      <c r="N181" s="35"/>
      <c r="O181" s="35"/>
      <c r="P181" s="35"/>
      <c r="Q181" s="35"/>
      <c r="R181" s="35"/>
      <c r="S181" s="35"/>
      <c r="T181" s="35">
        <v>578.79</v>
      </c>
      <c r="U181" s="35">
        <v>358.73200000000003</v>
      </c>
      <c r="V181" s="36">
        <f>432.77+1959.88</f>
        <v>2392.65</v>
      </c>
      <c r="W181" s="35"/>
      <c r="X181" s="35"/>
      <c r="Y181" s="35"/>
    </row>
    <row r="182" spans="1:25" ht="15.75" customHeight="1" x14ac:dyDescent="0.25">
      <c r="A182" s="13" t="s">
        <v>40</v>
      </c>
      <c r="B182" s="33">
        <v>366950.16</v>
      </c>
      <c r="C182" s="35">
        <f t="shared" si="2"/>
        <v>96481.3</v>
      </c>
      <c r="D182" s="35"/>
      <c r="E182" s="35"/>
      <c r="F182" s="35"/>
      <c r="G182" s="35"/>
      <c r="H182" s="35"/>
      <c r="I182" s="35"/>
      <c r="J182" s="35">
        <v>765.63099999999997</v>
      </c>
      <c r="K182" s="35">
        <v>5965</v>
      </c>
      <c r="L182" s="35"/>
      <c r="M182" s="35"/>
      <c r="N182" s="35"/>
      <c r="O182" s="35"/>
      <c r="P182" s="35"/>
      <c r="Q182" s="35">
        <f>18443.7+5546.01+13368</f>
        <v>37357.71</v>
      </c>
      <c r="R182" s="35">
        <v>8960</v>
      </c>
      <c r="S182" s="35">
        <f>18660+2924.03+3693.71+4053</f>
        <v>29330.739999999998</v>
      </c>
      <c r="T182" s="35">
        <f>7441.53+495.919</f>
        <v>7937.4489999999996</v>
      </c>
      <c r="U182" s="35"/>
      <c r="V182" s="36">
        <f>432.77+5732</f>
        <v>6164.77</v>
      </c>
      <c r="W182" s="35"/>
      <c r="X182" s="35"/>
      <c r="Y182" s="35"/>
    </row>
    <row r="183" spans="1:25" s="7" customFormat="1" ht="15.75" customHeight="1" x14ac:dyDescent="0.25">
      <c r="A183" s="13" t="s">
        <v>41</v>
      </c>
      <c r="B183" s="33">
        <v>302495.15999999997</v>
      </c>
      <c r="C183" s="35">
        <f t="shared" si="2"/>
        <v>197064.019</v>
      </c>
      <c r="D183" s="35"/>
      <c r="E183" s="35"/>
      <c r="F183" s="35"/>
      <c r="G183" s="35"/>
      <c r="H183" s="35">
        <v>128024</v>
      </c>
      <c r="I183" s="35"/>
      <c r="J183" s="35">
        <v>39898.83</v>
      </c>
      <c r="K183" s="35">
        <f>7720.69+1867.3+5839+1867.3</f>
        <v>17294.29</v>
      </c>
      <c r="L183" s="35"/>
      <c r="M183" s="35"/>
      <c r="N183" s="35"/>
      <c r="O183" s="35"/>
      <c r="P183" s="35"/>
      <c r="Q183" s="35">
        <v>2628.43</v>
      </c>
      <c r="R183" s="35"/>
      <c r="S183" s="35">
        <f>1882.8+4447.1</f>
        <v>6329.9000000000005</v>
      </c>
      <c r="T183" s="35">
        <v>495.91899999999998</v>
      </c>
      <c r="U183" s="35"/>
      <c r="V183" s="36">
        <f>432.77+1959.88</f>
        <v>2392.65</v>
      </c>
      <c r="W183" s="35"/>
      <c r="X183" s="35"/>
      <c r="Y183" s="35"/>
    </row>
    <row r="184" spans="1:25" s="7" customFormat="1" ht="15.75" customHeight="1" x14ac:dyDescent="0.25">
      <c r="A184" s="13" t="s">
        <v>42</v>
      </c>
      <c r="B184" s="33">
        <v>362693.76</v>
      </c>
      <c r="C184" s="35">
        <f t="shared" si="2"/>
        <v>21187.017</v>
      </c>
      <c r="D184" s="35"/>
      <c r="E184" s="35"/>
      <c r="F184" s="35"/>
      <c r="G184" s="35"/>
      <c r="H184" s="35"/>
      <c r="I184" s="35"/>
      <c r="J184" s="35">
        <v>2594.1799999999998</v>
      </c>
      <c r="K184" s="35">
        <v>933.65099999999995</v>
      </c>
      <c r="L184" s="35"/>
      <c r="M184" s="35"/>
      <c r="N184" s="35"/>
      <c r="O184" s="35"/>
      <c r="P184" s="35"/>
      <c r="Q184" s="35">
        <v>3518.22</v>
      </c>
      <c r="R184" s="35"/>
      <c r="S184" s="35">
        <v>7854.12</v>
      </c>
      <c r="T184" s="35">
        <f>578.79+991.849</f>
        <v>1570.6390000000001</v>
      </c>
      <c r="U184" s="35">
        <v>244.43700000000001</v>
      </c>
      <c r="V184" s="36">
        <f>432.77+4039</f>
        <v>4471.7700000000004</v>
      </c>
      <c r="W184" s="35"/>
      <c r="X184" s="35"/>
      <c r="Y184" s="35"/>
    </row>
    <row r="185" spans="1:25" s="7" customFormat="1" ht="15.75" customHeight="1" x14ac:dyDescent="0.25">
      <c r="A185" s="13" t="s">
        <v>43</v>
      </c>
      <c r="B185" s="33">
        <v>167422.44</v>
      </c>
      <c r="C185" s="35">
        <f t="shared" si="2"/>
        <v>49390.962599999999</v>
      </c>
      <c r="D185" s="35"/>
      <c r="E185" s="35"/>
      <c r="F185" s="35"/>
      <c r="G185" s="35"/>
      <c r="H185" s="35"/>
      <c r="I185" s="35"/>
      <c r="J185" s="35">
        <f>1514.19+2877</f>
        <v>4391.1900000000005</v>
      </c>
      <c r="K185" s="35"/>
      <c r="L185" s="35"/>
      <c r="M185" s="35"/>
      <c r="N185" s="35"/>
      <c r="O185" s="35"/>
      <c r="P185" s="35"/>
      <c r="Q185" s="35">
        <f>4712.73+909.9216+15106.3+6961.95</f>
        <v>27690.901600000001</v>
      </c>
      <c r="R185" s="35"/>
      <c r="S185" s="35">
        <f>1624.92+4070.4</f>
        <v>5695.32</v>
      </c>
      <c r="T185" s="35">
        <f>496.107+661.237</f>
        <v>1157.3440000000001</v>
      </c>
      <c r="U185" s="35">
        <v>244.43700000000001</v>
      </c>
      <c r="V185" s="36">
        <f>432.77+9779</f>
        <v>10211.77</v>
      </c>
      <c r="W185" s="35"/>
      <c r="X185" s="35"/>
      <c r="Y185" s="35"/>
    </row>
    <row r="186" spans="1:25" s="7" customFormat="1" ht="15.75" customHeight="1" x14ac:dyDescent="0.25">
      <c r="A186" s="13" t="s">
        <v>44</v>
      </c>
      <c r="B186" s="33">
        <v>101358.24</v>
      </c>
      <c r="C186" s="35">
        <f t="shared" si="2"/>
        <v>22969.229000000003</v>
      </c>
      <c r="D186" s="35"/>
      <c r="E186" s="35"/>
      <c r="F186" s="35"/>
      <c r="G186" s="35">
        <v>851.7</v>
      </c>
      <c r="H186" s="35"/>
      <c r="I186" s="35"/>
      <c r="J186" s="35">
        <v>1986</v>
      </c>
      <c r="K186" s="35"/>
      <c r="L186" s="35"/>
      <c r="M186" s="35"/>
      <c r="N186" s="35"/>
      <c r="O186" s="35"/>
      <c r="P186" s="35"/>
      <c r="Q186" s="35">
        <v>13786.74</v>
      </c>
      <c r="R186" s="35"/>
      <c r="S186" s="35">
        <v>4537.1000000000004</v>
      </c>
      <c r="T186" s="35">
        <v>495.91899999999998</v>
      </c>
      <c r="U186" s="35"/>
      <c r="V186" s="36">
        <f>432.77+879</f>
        <v>1311.77</v>
      </c>
      <c r="W186" s="35"/>
      <c r="X186" s="35"/>
      <c r="Y186" s="35"/>
    </row>
    <row r="187" spans="1:25" s="7" customFormat="1" ht="15.75" customHeight="1" x14ac:dyDescent="0.25">
      <c r="A187" s="13" t="s">
        <v>45</v>
      </c>
      <c r="B187" s="33">
        <v>86964.84</v>
      </c>
      <c r="C187" s="35">
        <f t="shared" si="2"/>
        <v>123488.45000000001</v>
      </c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>
        <v>19540</v>
      </c>
      <c r="P187" s="35"/>
      <c r="Q187" s="35">
        <f>12986.6+13084.3+24350.48+5174.3+47920</f>
        <v>103515.68000000001</v>
      </c>
      <c r="R187" s="35"/>
      <c r="S187" s="35"/>
      <c r="T187" s="35"/>
      <c r="U187" s="35"/>
      <c r="V187" s="36">
        <v>432.77</v>
      </c>
      <c r="W187" s="35"/>
      <c r="X187" s="35"/>
      <c r="Y187" s="35"/>
    </row>
    <row r="188" spans="1:25" ht="15.75" customHeight="1" x14ac:dyDescent="0.25">
      <c r="A188" s="13" t="s">
        <v>46</v>
      </c>
      <c r="B188" s="33">
        <v>96914.04</v>
      </c>
      <c r="C188" s="35">
        <f t="shared" si="2"/>
        <v>56370.829999999994</v>
      </c>
      <c r="D188" s="35"/>
      <c r="E188" s="35"/>
      <c r="F188" s="35"/>
      <c r="G188" s="35">
        <v>548.05999999999995</v>
      </c>
      <c r="H188" s="35"/>
      <c r="I188" s="35"/>
      <c r="J188" s="35">
        <v>615</v>
      </c>
      <c r="K188" s="35">
        <v>52396</v>
      </c>
      <c r="L188" s="35">
        <v>2379</v>
      </c>
      <c r="M188" s="35"/>
      <c r="N188" s="35"/>
      <c r="O188" s="35"/>
      <c r="P188" s="35"/>
      <c r="Q188" s="35"/>
      <c r="R188" s="35"/>
      <c r="S188" s="35"/>
      <c r="T188" s="35"/>
      <c r="U188" s="35"/>
      <c r="V188" s="36">
        <v>432.77</v>
      </c>
      <c r="W188" s="35"/>
      <c r="X188" s="35"/>
      <c r="Y188" s="35"/>
    </row>
    <row r="189" spans="1:25" s="7" customFormat="1" ht="15.75" customHeight="1" x14ac:dyDescent="0.25">
      <c r="A189" s="13" t="s">
        <v>47</v>
      </c>
      <c r="B189" s="33">
        <v>207194.28</v>
      </c>
      <c r="C189" s="35">
        <f t="shared" si="2"/>
        <v>16271.970000000001</v>
      </c>
      <c r="D189" s="35"/>
      <c r="E189" s="35"/>
      <c r="F189" s="35"/>
      <c r="G189" s="35"/>
      <c r="H189" s="35"/>
      <c r="I189" s="35"/>
      <c r="J189" s="35">
        <f>2098.27+1413.77+990+5959+3812.5</f>
        <v>14273.54</v>
      </c>
      <c r="K189" s="35"/>
      <c r="L189" s="35"/>
      <c r="M189" s="35">
        <v>2099.17</v>
      </c>
      <c r="N189" s="35">
        <v>338.66</v>
      </c>
      <c r="O189" s="35"/>
      <c r="P189" s="35"/>
      <c r="Q189" s="35"/>
      <c r="R189" s="35"/>
      <c r="S189" s="35"/>
      <c r="T189" s="35"/>
      <c r="U189" s="35"/>
      <c r="V189" s="36">
        <f>432.77+1227</f>
        <v>1659.77</v>
      </c>
      <c r="W189" s="35"/>
      <c r="X189" s="35"/>
      <c r="Y189" s="35"/>
    </row>
    <row r="190" spans="1:25" s="7" customFormat="1" ht="15.75" customHeight="1" x14ac:dyDescent="0.25">
      <c r="A190" s="13" t="s">
        <v>291</v>
      </c>
      <c r="B190" s="33">
        <v>435265.2</v>
      </c>
      <c r="C190" s="35">
        <f t="shared" si="2"/>
        <v>107591.276</v>
      </c>
      <c r="D190" s="35"/>
      <c r="E190" s="35"/>
      <c r="F190" s="35"/>
      <c r="G190" s="35">
        <v>7302</v>
      </c>
      <c r="H190" s="35"/>
      <c r="I190" s="35"/>
      <c r="J190" s="35">
        <f>16334.3+4776.44+993.56</f>
        <v>22104.3</v>
      </c>
      <c r="K190" s="35">
        <f>734.22+668</f>
        <v>1402.22</v>
      </c>
      <c r="L190" s="35"/>
      <c r="M190" s="35"/>
      <c r="N190" s="35"/>
      <c r="O190" s="35">
        <v>5781.4340000000002</v>
      </c>
      <c r="P190" s="35"/>
      <c r="Q190" s="35">
        <f>17866.3+20480.6+6719.39+6788.82</f>
        <v>51855.109999999993</v>
      </c>
      <c r="R190" s="35"/>
      <c r="S190" s="35"/>
      <c r="T190" s="35">
        <f>842.072+3943.35</f>
        <v>4785.4219999999996</v>
      </c>
      <c r="U190" s="35">
        <f>5133.24+2545.13+3082.16+1438.38</f>
        <v>12198.91</v>
      </c>
      <c r="V190" s="36">
        <f>1081+1080.88</f>
        <v>2161.88</v>
      </c>
      <c r="W190" s="35"/>
      <c r="X190" s="35"/>
      <c r="Y190" s="35"/>
    </row>
    <row r="191" spans="1:25" s="7" customFormat="1" ht="15.75" customHeight="1" x14ac:dyDescent="0.25">
      <c r="A191" s="13" t="s">
        <v>48</v>
      </c>
      <c r="B191" s="33">
        <v>231878.04</v>
      </c>
      <c r="C191" s="35">
        <f t="shared" si="2"/>
        <v>37728.832000000002</v>
      </c>
      <c r="D191" s="35"/>
      <c r="E191" s="35"/>
      <c r="F191" s="35"/>
      <c r="G191" s="35">
        <v>1892.61</v>
      </c>
      <c r="H191" s="35"/>
      <c r="I191" s="35"/>
      <c r="J191" s="35">
        <f>382.816+4747.96+3835.28</f>
        <v>8966.0560000000005</v>
      </c>
      <c r="K191" s="35">
        <f>752.946+5341.12</f>
        <v>6094.0659999999998</v>
      </c>
      <c r="L191" s="35"/>
      <c r="M191" s="35"/>
      <c r="N191" s="35"/>
      <c r="O191" s="35"/>
      <c r="P191" s="35"/>
      <c r="Q191" s="35">
        <v>8063.27</v>
      </c>
      <c r="R191" s="35"/>
      <c r="S191" s="35"/>
      <c r="T191" s="35"/>
      <c r="U191" s="35">
        <v>10550.79</v>
      </c>
      <c r="V191" s="36">
        <f>1081.16+1080.88</f>
        <v>2162.04</v>
      </c>
      <c r="W191" s="35"/>
      <c r="X191" s="35"/>
      <c r="Y191" s="35"/>
    </row>
    <row r="192" spans="1:25" s="7" customFormat="1" ht="15.75" customHeight="1" x14ac:dyDescent="0.25">
      <c r="A192" s="18" t="s">
        <v>49</v>
      </c>
      <c r="B192" s="34">
        <v>262310.40000000002</v>
      </c>
      <c r="C192" s="35">
        <f t="shared" si="2"/>
        <v>25257.0026</v>
      </c>
      <c r="D192" s="38"/>
      <c r="E192" s="38"/>
      <c r="F192" s="38"/>
      <c r="G192" s="38"/>
      <c r="H192" s="38"/>
      <c r="I192" s="38"/>
      <c r="J192" s="38">
        <v>7087.73</v>
      </c>
      <c r="K192" s="38">
        <v>376.47899999999998</v>
      </c>
      <c r="L192" s="38"/>
      <c r="M192" s="38"/>
      <c r="N192" s="38">
        <v>1233.0999999999999</v>
      </c>
      <c r="O192" s="38"/>
      <c r="P192" s="38"/>
      <c r="Q192" s="38">
        <v>5375.51</v>
      </c>
      <c r="R192" s="38"/>
      <c r="S192" s="38"/>
      <c r="T192" s="38">
        <f>842.072+3520.11+2263</f>
        <v>6625.1819999999998</v>
      </c>
      <c r="U192" s="38">
        <f>57.9616+2339</f>
        <v>2396.9616000000001</v>
      </c>
      <c r="V192" s="39">
        <f>1081.16+1080.88</f>
        <v>2162.04</v>
      </c>
      <c r="W192" s="38"/>
      <c r="X192" s="38"/>
      <c r="Y192" s="38"/>
    </row>
    <row r="193" spans="1:25" s="7" customFormat="1" ht="15.75" customHeight="1" x14ac:dyDescent="0.25">
      <c r="A193" s="13" t="s">
        <v>50</v>
      </c>
      <c r="B193" s="33">
        <v>110976.84</v>
      </c>
      <c r="C193" s="35">
        <f t="shared" si="2"/>
        <v>61984.127999999997</v>
      </c>
      <c r="D193" s="35"/>
      <c r="E193" s="35"/>
      <c r="F193" s="35"/>
      <c r="G193" s="35"/>
      <c r="H193" s="35"/>
      <c r="I193" s="35"/>
      <c r="J193" s="35">
        <v>993.08799999999997</v>
      </c>
      <c r="K193" s="35"/>
      <c r="L193" s="35"/>
      <c r="M193" s="35"/>
      <c r="N193" s="35">
        <v>2158.2199999999998</v>
      </c>
      <c r="O193" s="35"/>
      <c r="P193" s="35"/>
      <c r="Q193" s="35"/>
      <c r="R193" s="35"/>
      <c r="S193" s="35"/>
      <c r="T193" s="35">
        <v>421.04</v>
      </c>
      <c r="U193" s="35">
        <v>2819</v>
      </c>
      <c r="V193" s="36">
        <f>1081.16+1080.88</f>
        <v>2162.04</v>
      </c>
      <c r="W193" s="35">
        <v>53430.74</v>
      </c>
      <c r="X193" s="35"/>
      <c r="Y193" s="35"/>
    </row>
    <row r="194" spans="1:25" s="7" customFormat="1" ht="15.75" customHeight="1" x14ac:dyDescent="0.25">
      <c r="A194" s="13" t="s">
        <v>51</v>
      </c>
      <c r="B194" s="33">
        <v>116048.76</v>
      </c>
      <c r="C194" s="35">
        <f t="shared" si="2"/>
        <v>6358.3200000000006</v>
      </c>
      <c r="D194" s="35"/>
      <c r="E194" s="35"/>
      <c r="F194" s="35"/>
      <c r="G194" s="35"/>
      <c r="H194" s="35"/>
      <c r="I194" s="35"/>
      <c r="J194" s="35">
        <v>378.78</v>
      </c>
      <c r="K194" s="35">
        <f>1111.3+466</f>
        <v>1577.3</v>
      </c>
      <c r="L194" s="35"/>
      <c r="M194" s="35"/>
      <c r="N194" s="35"/>
      <c r="O194" s="35"/>
      <c r="P194" s="35"/>
      <c r="Q194" s="35"/>
      <c r="R194" s="35"/>
      <c r="S194" s="35"/>
      <c r="T194" s="35">
        <f>842.07+1398.29</f>
        <v>2240.36</v>
      </c>
      <c r="U194" s="35"/>
      <c r="V194" s="36">
        <f>1080.88+1081</f>
        <v>2161.88</v>
      </c>
      <c r="W194" s="35"/>
      <c r="X194" s="35"/>
      <c r="Y194" s="35"/>
    </row>
    <row r="195" spans="1:25" ht="15.75" customHeight="1" x14ac:dyDescent="0.25">
      <c r="A195" s="13" t="s">
        <v>52</v>
      </c>
      <c r="B195" s="33">
        <v>83752.92</v>
      </c>
      <c r="C195" s="35">
        <f t="shared" si="2"/>
        <v>13843.15</v>
      </c>
      <c r="D195" s="35"/>
      <c r="E195" s="35"/>
      <c r="F195" s="35"/>
      <c r="G195" s="35"/>
      <c r="H195" s="35"/>
      <c r="I195" s="35"/>
      <c r="J195" s="35">
        <v>5823.15</v>
      </c>
      <c r="K195" s="35"/>
      <c r="L195" s="35"/>
      <c r="M195" s="35"/>
      <c r="N195" s="35"/>
      <c r="O195" s="35"/>
      <c r="P195" s="35"/>
      <c r="Q195" s="35">
        <v>5858</v>
      </c>
      <c r="R195" s="35"/>
      <c r="S195" s="35"/>
      <c r="T195" s="35"/>
      <c r="U195" s="35"/>
      <c r="V195" s="36">
        <f>1081+1081</f>
        <v>2162</v>
      </c>
      <c r="W195" s="35"/>
      <c r="X195" s="35"/>
      <c r="Y195" s="35"/>
    </row>
    <row r="196" spans="1:25" s="56" customFormat="1" ht="15.75" customHeight="1" x14ac:dyDescent="0.25">
      <c r="A196" s="12" t="s">
        <v>53</v>
      </c>
      <c r="B196" s="33">
        <v>505711.92</v>
      </c>
      <c r="C196" s="35">
        <f t="shared" si="2"/>
        <v>56424.465999999986</v>
      </c>
      <c r="D196" s="35"/>
      <c r="E196" s="35"/>
      <c r="F196" s="35"/>
      <c r="G196" s="35"/>
      <c r="H196" s="35"/>
      <c r="I196" s="35"/>
      <c r="J196" s="35">
        <v>6955.39</v>
      </c>
      <c r="K196" s="35">
        <f>2693.2+13058.1+752.946+367.11+19855.42</f>
        <v>36726.775999999998</v>
      </c>
      <c r="L196" s="35">
        <v>6501.28</v>
      </c>
      <c r="M196" s="35"/>
      <c r="N196" s="35"/>
      <c r="O196" s="35"/>
      <c r="P196" s="35"/>
      <c r="Q196" s="35">
        <v>1255.52</v>
      </c>
      <c r="R196" s="35"/>
      <c r="S196" s="35"/>
      <c r="T196" s="35">
        <v>3411.38</v>
      </c>
      <c r="U196" s="35">
        <v>493.24</v>
      </c>
      <c r="V196" s="36">
        <v>1080.8800000000001</v>
      </c>
      <c r="W196" s="35"/>
      <c r="X196" s="35"/>
      <c r="Y196" s="35"/>
    </row>
    <row r="197" spans="1:25" s="7" customFormat="1" ht="15.75" customHeight="1" x14ac:dyDescent="0.25">
      <c r="A197" s="13" t="s">
        <v>54</v>
      </c>
      <c r="B197" s="33">
        <v>51742.8</v>
      </c>
      <c r="C197" s="35">
        <f t="shared" si="2"/>
        <v>9308.0420000000013</v>
      </c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>
        <f>2632.4+6040.79</f>
        <v>8673.19</v>
      </c>
      <c r="U197" s="35">
        <v>634.85199999999998</v>
      </c>
      <c r="V197" s="36"/>
      <c r="W197" s="35"/>
      <c r="X197" s="35"/>
      <c r="Y197" s="35"/>
    </row>
    <row r="198" spans="1:25" ht="15.75" customHeight="1" x14ac:dyDescent="0.25">
      <c r="A198" s="12" t="s">
        <v>55</v>
      </c>
      <c r="B198" s="33">
        <v>90345.96</v>
      </c>
      <c r="C198" s="35">
        <f t="shared" si="2"/>
        <v>20258.900000000001</v>
      </c>
      <c r="D198" s="35"/>
      <c r="E198" s="35"/>
      <c r="F198" s="35"/>
      <c r="G198" s="35"/>
      <c r="H198" s="35"/>
      <c r="I198" s="35"/>
      <c r="J198" s="35">
        <v>20258.900000000001</v>
      </c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6"/>
      <c r="W198" s="35"/>
      <c r="X198" s="35"/>
      <c r="Y198" s="35"/>
    </row>
    <row r="199" spans="1:25" s="7" customFormat="1" ht="15.75" customHeight="1" x14ac:dyDescent="0.25">
      <c r="A199" s="12" t="s">
        <v>56</v>
      </c>
      <c r="B199" s="33">
        <v>276624.96000000002</v>
      </c>
      <c r="C199" s="35">
        <f t="shared" si="2"/>
        <v>96146.72</v>
      </c>
      <c r="D199" s="35"/>
      <c r="E199" s="35"/>
      <c r="F199" s="35"/>
      <c r="G199" s="35">
        <f>90456+767.35</f>
        <v>91223.35</v>
      </c>
      <c r="H199" s="35"/>
      <c r="I199" s="35"/>
      <c r="J199" s="35">
        <f>849+1926</f>
        <v>2775</v>
      </c>
      <c r="K199" s="35">
        <v>376.48</v>
      </c>
      <c r="L199" s="35"/>
      <c r="M199" s="35">
        <v>848.75</v>
      </c>
      <c r="N199" s="35"/>
      <c r="O199" s="35"/>
      <c r="P199" s="35"/>
      <c r="Q199" s="35"/>
      <c r="R199" s="35"/>
      <c r="S199" s="35">
        <v>691.01</v>
      </c>
      <c r="T199" s="35"/>
      <c r="U199" s="35"/>
      <c r="V199" s="36">
        <v>1080.8800000000001</v>
      </c>
      <c r="W199" s="35"/>
      <c r="X199" s="35"/>
      <c r="Y199" s="35"/>
    </row>
    <row r="200" spans="1:25" s="7" customFormat="1" ht="15.75" customHeight="1" x14ac:dyDescent="0.25">
      <c r="A200" s="12" t="s">
        <v>57</v>
      </c>
      <c r="B200" s="33">
        <v>191673.36</v>
      </c>
      <c r="C200" s="35">
        <f t="shared" si="2"/>
        <v>371433.45</v>
      </c>
      <c r="D200" s="35"/>
      <c r="E200" s="35"/>
      <c r="F200" s="35"/>
      <c r="G200" s="35">
        <f>369364+1232.52</f>
        <v>370596.52</v>
      </c>
      <c r="H200" s="35"/>
      <c r="I200" s="35"/>
      <c r="J200" s="35"/>
      <c r="K200" s="35">
        <v>367.48</v>
      </c>
      <c r="L200" s="35"/>
      <c r="M200" s="35"/>
      <c r="N200" s="35">
        <v>469.45</v>
      </c>
      <c r="O200" s="35"/>
      <c r="P200" s="35"/>
      <c r="Q200" s="35"/>
      <c r="R200" s="35"/>
      <c r="S200" s="35"/>
      <c r="T200" s="35"/>
      <c r="U200" s="35"/>
      <c r="V200" s="36"/>
      <c r="W200" s="35"/>
      <c r="X200" s="35"/>
      <c r="Y200" s="35"/>
    </row>
    <row r="201" spans="1:25" s="7" customFormat="1" ht="15.75" customHeight="1" x14ac:dyDescent="0.25">
      <c r="A201" s="12" t="s">
        <v>58</v>
      </c>
      <c r="B201" s="33">
        <v>107527.2</v>
      </c>
      <c r="C201" s="35">
        <f t="shared" si="2"/>
        <v>262183.83799999999</v>
      </c>
      <c r="D201" s="35"/>
      <c r="E201" s="35">
        <v>118501</v>
      </c>
      <c r="F201" s="35"/>
      <c r="G201" s="35">
        <f>4258.48+1705.97</f>
        <v>5964.45</v>
      </c>
      <c r="H201" s="35"/>
      <c r="I201" s="35"/>
      <c r="J201" s="35">
        <v>2909</v>
      </c>
      <c r="K201" s="35">
        <f>376.479+13580.43+376.479</f>
        <v>14333.387999999999</v>
      </c>
      <c r="L201" s="35"/>
      <c r="M201" s="35"/>
      <c r="N201" s="35">
        <v>115956</v>
      </c>
      <c r="O201" s="35"/>
      <c r="P201" s="35"/>
      <c r="Q201" s="35"/>
      <c r="R201" s="35"/>
      <c r="S201" s="35"/>
      <c r="T201" s="35"/>
      <c r="U201" s="35"/>
      <c r="V201" s="36">
        <v>4520</v>
      </c>
      <c r="W201" s="35"/>
      <c r="X201" s="35"/>
      <c r="Y201" s="35"/>
    </row>
    <row r="202" spans="1:25" s="7" customFormat="1" ht="15.75" customHeight="1" x14ac:dyDescent="0.25">
      <c r="A202" s="13" t="s">
        <v>59</v>
      </c>
      <c r="B202" s="33">
        <v>357966.72</v>
      </c>
      <c r="C202" s="35">
        <f t="shared" si="2"/>
        <v>52469.41</v>
      </c>
      <c r="D202" s="35">
        <v>6552.23</v>
      </c>
      <c r="E202" s="35"/>
      <c r="F202" s="35"/>
      <c r="G202" s="35">
        <f>180.59+1679.61</f>
        <v>1860.1999999999998</v>
      </c>
      <c r="H202" s="35"/>
      <c r="I202" s="35"/>
      <c r="J202" s="35">
        <f>6138.51+565</f>
        <v>6703.51</v>
      </c>
      <c r="K202" s="35">
        <f>293.16+376.48</f>
        <v>669.6400000000001</v>
      </c>
      <c r="L202" s="35">
        <v>2973</v>
      </c>
      <c r="M202" s="35"/>
      <c r="N202" s="35">
        <v>2944</v>
      </c>
      <c r="O202" s="35"/>
      <c r="P202" s="35"/>
      <c r="Q202" s="35"/>
      <c r="R202" s="35"/>
      <c r="S202" s="35">
        <f>4081.83+17145</f>
        <v>21226.83</v>
      </c>
      <c r="T202" s="35"/>
      <c r="U202" s="35">
        <v>9540</v>
      </c>
      <c r="V202" s="36"/>
      <c r="W202" s="35"/>
      <c r="X202" s="35"/>
      <c r="Y202" s="35"/>
    </row>
    <row r="203" spans="1:25" s="7" customFormat="1" ht="15.75" customHeight="1" x14ac:dyDescent="0.25">
      <c r="A203" s="13" t="s">
        <v>60</v>
      </c>
      <c r="B203" s="33">
        <v>84717.36</v>
      </c>
      <c r="C203" s="35">
        <f t="shared" si="2"/>
        <v>73534.51999999999</v>
      </c>
      <c r="D203" s="35"/>
      <c r="E203" s="35"/>
      <c r="F203" s="35"/>
      <c r="G203" s="35">
        <v>49986.63</v>
      </c>
      <c r="H203" s="35"/>
      <c r="I203" s="35"/>
      <c r="J203" s="35">
        <v>1277</v>
      </c>
      <c r="K203" s="35"/>
      <c r="L203" s="35"/>
      <c r="M203" s="35"/>
      <c r="N203" s="35"/>
      <c r="O203" s="35"/>
      <c r="P203" s="35"/>
      <c r="Q203" s="35"/>
      <c r="R203" s="35"/>
      <c r="S203" s="35"/>
      <c r="T203" s="35">
        <v>5233.74</v>
      </c>
      <c r="U203" s="35">
        <f>3056.15+13981</f>
        <v>17037.150000000001</v>
      </c>
      <c r="V203" s="36"/>
      <c r="W203" s="35"/>
      <c r="X203" s="35"/>
      <c r="Y203" s="35"/>
    </row>
    <row r="204" spans="1:25" s="7" customFormat="1" ht="15.75" customHeight="1" x14ac:dyDescent="0.25">
      <c r="A204" s="13" t="s">
        <v>61</v>
      </c>
      <c r="B204" s="33">
        <v>217966.32</v>
      </c>
      <c r="C204" s="35">
        <f t="shared" si="2"/>
        <v>37817.178</v>
      </c>
      <c r="D204" s="35"/>
      <c r="E204" s="35"/>
      <c r="F204" s="35"/>
      <c r="G204" s="35">
        <v>1679.61</v>
      </c>
      <c r="H204" s="35"/>
      <c r="I204" s="35"/>
      <c r="J204" s="35">
        <f>5886.85+1265.66+6997.54</f>
        <v>14150.05</v>
      </c>
      <c r="K204" s="35">
        <v>1039.6980000000001</v>
      </c>
      <c r="L204" s="35">
        <f>5373.34+1189</f>
        <v>6562.34</v>
      </c>
      <c r="M204" s="35"/>
      <c r="N204" s="35">
        <v>938.89</v>
      </c>
      <c r="O204" s="35"/>
      <c r="P204" s="35"/>
      <c r="Q204" s="35"/>
      <c r="R204" s="35"/>
      <c r="S204" s="35">
        <v>4554.99</v>
      </c>
      <c r="T204" s="35">
        <v>3223.76</v>
      </c>
      <c r="U204" s="35">
        <f>606.84+5061</f>
        <v>5667.84</v>
      </c>
      <c r="V204" s="36"/>
      <c r="W204" s="35"/>
      <c r="X204" s="35"/>
      <c r="Y204" s="35"/>
    </row>
    <row r="205" spans="1:25" ht="15.75" customHeight="1" x14ac:dyDescent="0.25">
      <c r="A205" s="13" t="s">
        <v>62</v>
      </c>
      <c r="B205" s="33">
        <v>24353.52</v>
      </c>
      <c r="C205" s="35">
        <f t="shared" si="2"/>
        <v>0</v>
      </c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6"/>
      <c r="W205" s="35"/>
      <c r="X205" s="35"/>
      <c r="Y205" s="35"/>
    </row>
    <row r="206" spans="1:25" s="7" customFormat="1" ht="15.75" customHeight="1" x14ac:dyDescent="0.25">
      <c r="A206" s="13" t="s">
        <v>63</v>
      </c>
      <c r="B206" s="33">
        <v>151395.96</v>
      </c>
      <c r="C206" s="35">
        <f t="shared" si="2"/>
        <v>66804.652999999991</v>
      </c>
      <c r="D206" s="35"/>
      <c r="E206" s="35"/>
      <c r="F206" s="35"/>
      <c r="G206" s="35"/>
      <c r="H206" s="35"/>
      <c r="I206" s="35"/>
      <c r="J206" s="35">
        <f>2351.97+565.255</f>
        <v>2917.2249999999999</v>
      </c>
      <c r="K206" s="35">
        <v>273.74</v>
      </c>
      <c r="L206" s="35">
        <v>17994.7</v>
      </c>
      <c r="M206" s="35">
        <v>5387.02</v>
      </c>
      <c r="N206" s="35"/>
      <c r="O206" s="35"/>
      <c r="P206" s="35"/>
      <c r="Q206" s="35">
        <f>8927.87+2469.858+6367.28</f>
        <v>17765.008000000002</v>
      </c>
      <c r="R206" s="35">
        <v>6212.91</v>
      </c>
      <c r="S206" s="35">
        <f>3628.39+933.38</f>
        <v>4561.7699999999995</v>
      </c>
      <c r="T206" s="35">
        <v>16530.599999999999</v>
      </c>
      <c r="U206" s="35">
        <v>548.70000000000005</v>
      </c>
      <c r="V206" s="36"/>
      <c r="W206" s="35"/>
      <c r="X206" s="35"/>
      <c r="Y206" s="35"/>
    </row>
    <row r="207" spans="1:25" ht="15.75" customHeight="1" x14ac:dyDescent="0.25">
      <c r="A207" s="13" t="s">
        <v>64</v>
      </c>
      <c r="B207" s="33">
        <v>224340.12</v>
      </c>
      <c r="C207" s="35">
        <f t="shared" ref="C207:C270" si="3">D207+E207+G207+H207+I207+J207+K207+L207+N207+O207+P207+Q207+R207+S207+T207+U207+V207+W207+X207+Y207+F207</f>
        <v>31109.314999999999</v>
      </c>
      <c r="D207" s="35"/>
      <c r="E207" s="35"/>
      <c r="F207" s="35"/>
      <c r="G207" s="35"/>
      <c r="H207" s="35"/>
      <c r="I207" s="35"/>
      <c r="J207" s="35">
        <f>114.9+565.255</f>
        <v>680.15499999999997</v>
      </c>
      <c r="K207" s="35">
        <f>638.09+367.11</f>
        <v>1005.2</v>
      </c>
      <c r="L207" s="35">
        <v>1189</v>
      </c>
      <c r="M207" s="35"/>
      <c r="N207" s="35"/>
      <c r="O207" s="35"/>
      <c r="P207" s="35"/>
      <c r="Q207" s="35"/>
      <c r="R207" s="35"/>
      <c r="S207" s="35"/>
      <c r="T207" s="35"/>
      <c r="U207" s="35">
        <v>1483.26</v>
      </c>
      <c r="V207" s="36">
        <v>4324.7</v>
      </c>
      <c r="W207" s="35"/>
      <c r="X207" s="35"/>
      <c r="Y207" s="35">
        <v>22427</v>
      </c>
    </row>
    <row r="208" spans="1:25" s="7" customFormat="1" ht="15.75" customHeight="1" x14ac:dyDescent="0.25">
      <c r="A208" s="13" t="s">
        <v>65</v>
      </c>
      <c r="B208" s="33">
        <v>471188.76</v>
      </c>
      <c r="C208" s="35">
        <f t="shared" si="3"/>
        <v>306063.37</v>
      </c>
      <c r="D208" s="35"/>
      <c r="E208" s="35"/>
      <c r="F208" s="35"/>
      <c r="G208" s="35"/>
      <c r="H208" s="35">
        <v>184842</v>
      </c>
      <c r="I208" s="35"/>
      <c r="J208" s="35">
        <f>376.73+9159.46+25345.24</f>
        <v>34881.43</v>
      </c>
      <c r="K208" s="35">
        <f>376.48+472.9+1787.56+367.11+1867.94</f>
        <v>4871.99</v>
      </c>
      <c r="L208" s="35">
        <f>3039.44+13669.1</f>
        <v>16708.54</v>
      </c>
      <c r="M208" s="35"/>
      <c r="N208" s="35"/>
      <c r="O208" s="35"/>
      <c r="P208" s="35"/>
      <c r="Q208" s="35">
        <v>24320</v>
      </c>
      <c r="R208" s="35"/>
      <c r="S208" s="35">
        <f>2905.71+10879</f>
        <v>13784.71</v>
      </c>
      <c r="T208" s="35">
        <v>3794.3</v>
      </c>
      <c r="U208" s="35">
        <v>13204.4</v>
      </c>
      <c r="V208" s="36">
        <v>9656</v>
      </c>
      <c r="W208" s="35"/>
      <c r="X208" s="35"/>
      <c r="Y208" s="35"/>
    </row>
    <row r="209" spans="1:25" s="7" customFormat="1" ht="15.75" customHeight="1" x14ac:dyDescent="0.25">
      <c r="A209" s="13" t="s">
        <v>66</v>
      </c>
      <c r="B209" s="33">
        <v>369161.4</v>
      </c>
      <c r="C209" s="35">
        <f t="shared" si="3"/>
        <v>187995.24999999997</v>
      </c>
      <c r="D209" s="35">
        <v>30521</v>
      </c>
      <c r="E209" s="35"/>
      <c r="F209" s="35"/>
      <c r="G209" s="35">
        <f>1440.49+48997</f>
        <v>50437.49</v>
      </c>
      <c r="H209" s="35"/>
      <c r="I209" s="35"/>
      <c r="J209" s="35">
        <f>1839.37+1925.89</f>
        <v>3765.26</v>
      </c>
      <c r="K209" s="35">
        <v>376.48</v>
      </c>
      <c r="L209" s="35">
        <v>66023.399999999994</v>
      </c>
      <c r="M209" s="35"/>
      <c r="N209" s="35"/>
      <c r="O209" s="35"/>
      <c r="P209" s="35"/>
      <c r="Q209" s="35">
        <v>17687</v>
      </c>
      <c r="R209" s="35"/>
      <c r="S209" s="35">
        <v>3983</v>
      </c>
      <c r="T209" s="35">
        <v>7886.71</v>
      </c>
      <c r="U209" s="35">
        <v>7314.91</v>
      </c>
      <c r="V209" s="36"/>
      <c r="W209" s="35"/>
      <c r="X209" s="35"/>
      <c r="Y209" s="35"/>
    </row>
    <row r="210" spans="1:25" s="7" customFormat="1" ht="15.75" customHeight="1" x14ac:dyDescent="0.25">
      <c r="A210" s="13" t="s">
        <v>67</v>
      </c>
      <c r="B210" s="33">
        <v>322899.84000000003</v>
      </c>
      <c r="C210" s="35">
        <f t="shared" si="3"/>
        <v>70190.777000000002</v>
      </c>
      <c r="D210" s="35">
        <v>2228.56</v>
      </c>
      <c r="E210" s="35"/>
      <c r="F210" s="35"/>
      <c r="G210" s="35"/>
      <c r="H210" s="35"/>
      <c r="I210" s="35"/>
      <c r="J210" s="35">
        <v>4488.95</v>
      </c>
      <c r="K210" s="35"/>
      <c r="L210" s="35">
        <v>20442.400000000001</v>
      </c>
      <c r="M210" s="35"/>
      <c r="N210" s="35"/>
      <c r="O210" s="35"/>
      <c r="P210" s="35"/>
      <c r="Q210" s="35">
        <f>928.117+4796.92</f>
        <v>5725.0370000000003</v>
      </c>
      <c r="R210" s="35"/>
      <c r="S210" s="35">
        <f>1729.59+691.48</f>
        <v>2421.0699999999997</v>
      </c>
      <c r="T210" s="35">
        <v>19333.8</v>
      </c>
      <c r="U210" s="35">
        <f>2870.76+5777</f>
        <v>8647.76</v>
      </c>
      <c r="V210" s="36">
        <f>1931.2+4972</f>
        <v>6903.2</v>
      </c>
      <c r="W210" s="35"/>
      <c r="X210" s="35"/>
      <c r="Y210" s="35"/>
    </row>
    <row r="211" spans="1:25" ht="15.75" customHeight="1" x14ac:dyDescent="0.25">
      <c r="A211" s="13" t="s">
        <v>68</v>
      </c>
      <c r="B211" s="33">
        <v>74359.44</v>
      </c>
      <c r="C211" s="35">
        <f t="shared" si="3"/>
        <v>0</v>
      </c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6"/>
      <c r="W211" s="35"/>
      <c r="X211" s="35"/>
      <c r="Y211" s="35"/>
    </row>
    <row r="212" spans="1:25" s="7" customFormat="1" ht="15.75" customHeight="1" x14ac:dyDescent="0.25">
      <c r="A212" s="13" t="s">
        <v>69</v>
      </c>
      <c r="B212" s="33">
        <v>126380.4</v>
      </c>
      <c r="C212" s="35">
        <f t="shared" si="3"/>
        <v>33460.739999999991</v>
      </c>
      <c r="D212" s="35"/>
      <c r="E212" s="35"/>
      <c r="F212" s="35"/>
      <c r="G212" s="35"/>
      <c r="H212" s="35"/>
      <c r="I212" s="35"/>
      <c r="J212" s="35">
        <f>17304.1+4518.89</f>
        <v>21822.989999999998</v>
      </c>
      <c r="K212" s="35">
        <f>5844.12+376.48</f>
        <v>6220.6</v>
      </c>
      <c r="L212" s="35"/>
      <c r="M212" s="35"/>
      <c r="N212" s="35">
        <v>1131.67</v>
      </c>
      <c r="O212" s="35"/>
      <c r="P212" s="35"/>
      <c r="Q212" s="35"/>
      <c r="R212" s="35"/>
      <c r="S212" s="35"/>
      <c r="T212" s="35"/>
      <c r="U212" s="35">
        <v>509.03</v>
      </c>
      <c r="V212" s="36">
        <v>3776.45</v>
      </c>
      <c r="W212" s="35"/>
      <c r="X212" s="35"/>
      <c r="Y212" s="35"/>
    </row>
    <row r="213" spans="1:25" s="7" customFormat="1" ht="15.75" customHeight="1" x14ac:dyDescent="0.25">
      <c r="A213" s="13" t="s">
        <v>70</v>
      </c>
      <c r="B213" s="33">
        <v>98946.6</v>
      </c>
      <c r="C213" s="35">
        <f t="shared" si="3"/>
        <v>6383.1799999999994</v>
      </c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>
        <v>4796.92</v>
      </c>
      <c r="R213" s="35"/>
      <c r="S213" s="35">
        <v>691.48</v>
      </c>
      <c r="T213" s="35"/>
      <c r="U213" s="35">
        <v>894.78</v>
      </c>
      <c r="V213" s="36"/>
      <c r="W213" s="35"/>
      <c r="X213" s="35"/>
      <c r="Y213" s="35"/>
    </row>
    <row r="214" spans="1:25" s="7" customFormat="1" ht="15.75" customHeight="1" x14ac:dyDescent="0.25">
      <c r="A214" s="13" t="s">
        <v>71</v>
      </c>
      <c r="B214" s="33">
        <v>76962.720000000001</v>
      </c>
      <c r="C214" s="35">
        <f t="shared" si="3"/>
        <v>14991.82</v>
      </c>
      <c r="D214" s="35"/>
      <c r="E214" s="35"/>
      <c r="F214" s="35"/>
      <c r="G214" s="35"/>
      <c r="H214" s="35"/>
      <c r="I214" s="35"/>
      <c r="J214" s="35"/>
      <c r="K214" s="35"/>
      <c r="L214" s="35">
        <f>5834.77+3181</f>
        <v>9015.77</v>
      </c>
      <c r="M214" s="35"/>
      <c r="N214" s="35"/>
      <c r="O214" s="35"/>
      <c r="P214" s="35"/>
      <c r="Q214" s="35"/>
      <c r="R214" s="35"/>
      <c r="S214" s="35"/>
      <c r="T214" s="35">
        <v>5976.05</v>
      </c>
      <c r="U214" s="35"/>
      <c r="V214" s="36"/>
      <c r="W214" s="35"/>
      <c r="X214" s="35"/>
      <c r="Y214" s="35"/>
    </row>
    <row r="215" spans="1:25" ht="15.75" customHeight="1" x14ac:dyDescent="0.25">
      <c r="A215" s="13" t="s">
        <v>72</v>
      </c>
      <c r="B215" s="33">
        <v>99974.52</v>
      </c>
      <c r="C215" s="35">
        <f t="shared" si="3"/>
        <v>57636.17</v>
      </c>
      <c r="D215" s="35"/>
      <c r="E215" s="35"/>
      <c r="F215" s="35"/>
      <c r="G215" s="35">
        <v>48997</v>
      </c>
      <c r="H215" s="35"/>
      <c r="I215" s="35"/>
      <c r="J215" s="35"/>
      <c r="K215" s="35">
        <f>57.48+319</f>
        <v>376.48</v>
      </c>
      <c r="L215" s="35"/>
      <c r="M215" s="35"/>
      <c r="N215" s="35"/>
      <c r="O215" s="35"/>
      <c r="P215" s="35"/>
      <c r="Q215" s="35">
        <v>6879.02</v>
      </c>
      <c r="R215" s="35"/>
      <c r="S215" s="35">
        <v>1383.67</v>
      </c>
      <c r="T215" s="35"/>
      <c r="U215" s="35"/>
      <c r="V215" s="36"/>
      <c r="W215" s="35"/>
      <c r="X215" s="35"/>
      <c r="Y215" s="35"/>
    </row>
    <row r="216" spans="1:25" s="7" customFormat="1" ht="15.75" customHeight="1" x14ac:dyDescent="0.25">
      <c r="A216" s="13" t="s">
        <v>73</v>
      </c>
      <c r="B216" s="33">
        <v>193824.6</v>
      </c>
      <c r="C216" s="35">
        <f t="shared" si="3"/>
        <v>169109.05600000001</v>
      </c>
      <c r="D216" s="35"/>
      <c r="E216" s="35"/>
      <c r="F216" s="35"/>
      <c r="G216" s="35"/>
      <c r="H216" s="35"/>
      <c r="I216" s="35"/>
      <c r="J216" s="35"/>
      <c r="K216" s="35">
        <v>912.45</v>
      </c>
      <c r="L216" s="35">
        <v>5213.57</v>
      </c>
      <c r="M216" s="35"/>
      <c r="N216" s="35">
        <v>783.06</v>
      </c>
      <c r="O216" s="35"/>
      <c r="P216" s="35"/>
      <c r="Q216" s="35">
        <f>3491.29+5038.91+5383</f>
        <v>13913.2</v>
      </c>
      <c r="R216" s="35"/>
      <c r="S216" s="35">
        <v>170.15600000000001</v>
      </c>
      <c r="T216" s="35"/>
      <c r="U216" s="35">
        <f>899.42+2000.48</f>
        <v>2899.9</v>
      </c>
      <c r="V216" s="36"/>
      <c r="W216" s="35"/>
      <c r="X216" s="35">
        <v>145216.72</v>
      </c>
      <c r="Y216" s="35"/>
    </row>
    <row r="217" spans="1:25" s="56" customFormat="1" ht="15.75" customHeight="1" x14ac:dyDescent="0.25">
      <c r="A217" s="13" t="s">
        <v>74</v>
      </c>
      <c r="B217" s="33">
        <v>294621.48</v>
      </c>
      <c r="C217" s="35">
        <f t="shared" si="3"/>
        <v>45780.74</v>
      </c>
      <c r="D217" s="35">
        <v>15815.86</v>
      </c>
      <c r="E217" s="35"/>
      <c r="F217" s="35"/>
      <c r="G217" s="35"/>
      <c r="H217" s="35"/>
      <c r="I217" s="35"/>
      <c r="J217" s="35">
        <f>3288.66+9443.8</f>
        <v>12732.46</v>
      </c>
      <c r="K217" s="35"/>
      <c r="L217" s="35">
        <f>557.82+15049.6</f>
        <v>15607.42</v>
      </c>
      <c r="M217" s="35"/>
      <c r="N217" s="35"/>
      <c r="O217" s="35"/>
      <c r="P217" s="35"/>
      <c r="Q217" s="35">
        <v>1625</v>
      </c>
      <c r="R217" s="35"/>
      <c r="S217" s="35"/>
      <c r="T217" s="35"/>
      <c r="U217" s="35"/>
      <c r="V217" s="36"/>
      <c r="W217" s="35"/>
      <c r="X217" s="35"/>
      <c r="Y217" s="35"/>
    </row>
    <row r="218" spans="1:25" ht="15.75" customHeight="1" x14ac:dyDescent="0.25">
      <c r="A218" s="13" t="s">
        <v>75</v>
      </c>
      <c r="B218" s="33">
        <v>94798.8</v>
      </c>
      <c r="C218" s="35">
        <f t="shared" si="3"/>
        <v>20884.330000000002</v>
      </c>
      <c r="D218" s="35"/>
      <c r="E218" s="35"/>
      <c r="F218" s="35"/>
      <c r="G218" s="35"/>
      <c r="H218" s="35"/>
      <c r="I218" s="35"/>
      <c r="J218" s="35">
        <v>9037.07</v>
      </c>
      <c r="K218" s="35"/>
      <c r="L218" s="35">
        <v>6668.26</v>
      </c>
      <c r="M218" s="35"/>
      <c r="N218" s="35"/>
      <c r="O218" s="35"/>
      <c r="P218" s="35"/>
      <c r="Q218" s="35">
        <v>5179</v>
      </c>
      <c r="R218" s="35"/>
      <c r="S218" s="35"/>
      <c r="T218" s="35"/>
      <c r="U218" s="35"/>
      <c r="V218" s="36"/>
      <c r="W218" s="35"/>
      <c r="X218" s="35"/>
      <c r="Y218" s="35"/>
    </row>
    <row r="219" spans="1:25" ht="15.75" customHeight="1" x14ac:dyDescent="0.25">
      <c r="A219" s="13" t="s">
        <v>76</v>
      </c>
      <c r="B219" s="33">
        <v>279716.88</v>
      </c>
      <c r="C219" s="35">
        <f t="shared" si="3"/>
        <v>186769.06699999998</v>
      </c>
      <c r="D219" s="35"/>
      <c r="E219" s="35"/>
      <c r="F219" s="35"/>
      <c r="G219" s="35"/>
      <c r="H219" s="35"/>
      <c r="I219" s="35"/>
      <c r="J219" s="35"/>
      <c r="K219" s="35">
        <v>11307</v>
      </c>
      <c r="L219" s="35">
        <v>6567.14</v>
      </c>
      <c r="M219" s="35"/>
      <c r="N219" s="35"/>
      <c r="O219" s="35">
        <v>4309.6670000000004</v>
      </c>
      <c r="P219" s="35"/>
      <c r="Q219" s="35">
        <f>2273.6+7439</f>
        <v>9712.6</v>
      </c>
      <c r="R219" s="35"/>
      <c r="S219" s="35">
        <v>691.48</v>
      </c>
      <c r="T219" s="35">
        <v>8265.9</v>
      </c>
      <c r="U219" s="35"/>
      <c r="V219" s="36"/>
      <c r="W219" s="35"/>
      <c r="X219" s="35">
        <v>145915.28</v>
      </c>
      <c r="Y219" s="35"/>
    </row>
    <row r="220" spans="1:25" s="7" customFormat="1" ht="15.75" customHeight="1" x14ac:dyDescent="0.25">
      <c r="A220" s="13" t="s">
        <v>77</v>
      </c>
      <c r="B220" s="33">
        <v>105705.36</v>
      </c>
      <c r="C220" s="35">
        <f t="shared" si="3"/>
        <v>221472.52</v>
      </c>
      <c r="D220" s="35"/>
      <c r="E220" s="35"/>
      <c r="F220" s="35"/>
      <c r="G220" s="35">
        <f>45228+894</f>
        <v>46122</v>
      </c>
      <c r="H220" s="35"/>
      <c r="I220" s="35"/>
      <c r="J220" s="35"/>
      <c r="K220" s="35"/>
      <c r="L220" s="35"/>
      <c r="M220" s="35"/>
      <c r="N220" s="35">
        <v>13178.25</v>
      </c>
      <c r="O220" s="35"/>
      <c r="P220" s="35"/>
      <c r="Q220" s="35"/>
      <c r="R220" s="35"/>
      <c r="S220" s="35"/>
      <c r="T220" s="35">
        <v>1499.53</v>
      </c>
      <c r="U220" s="35"/>
      <c r="V220" s="36"/>
      <c r="W220" s="35"/>
      <c r="X220" s="35">
        <v>160672.74</v>
      </c>
      <c r="Y220" s="35"/>
    </row>
    <row r="221" spans="1:25" ht="15.75" customHeight="1" x14ac:dyDescent="0.25">
      <c r="A221" s="13" t="s">
        <v>78</v>
      </c>
      <c r="B221" s="33">
        <v>47409.24</v>
      </c>
      <c r="C221" s="35">
        <f t="shared" si="3"/>
        <v>3816</v>
      </c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>
        <v>193</v>
      </c>
      <c r="T221" s="35">
        <v>3623</v>
      </c>
      <c r="U221" s="35"/>
      <c r="V221" s="36"/>
      <c r="W221" s="35"/>
      <c r="X221" s="35"/>
      <c r="Y221" s="35"/>
    </row>
    <row r="222" spans="1:25" ht="15.75" customHeight="1" x14ac:dyDescent="0.25">
      <c r="A222" s="13" t="s">
        <v>79</v>
      </c>
      <c r="B222" s="33">
        <v>132392.64000000001</v>
      </c>
      <c r="C222" s="35">
        <f t="shared" si="3"/>
        <v>24156.554</v>
      </c>
      <c r="D222" s="35"/>
      <c r="E222" s="35"/>
      <c r="F222" s="35"/>
      <c r="G222" s="35"/>
      <c r="H222" s="35"/>
      <c r="I222" s="35"/>
      <c r="J222" s="35">
        <v>1130.51</v>
      </c>
      <c r="K222" s="35"/>
      <c r="L222" s="35"/>
      <c r="M222" s="35"/>
      <c r="N222" s="35"/>
      <c r="O222" s="35"/>
      <c r="P222" s="35"/>
      <c r="Q222" s="35">
        <v>2413.4499999999998</v>
      </c>
      <c r="R222" s="35"/>
      <c r="S222" s="35">
        <v>691.83399999999995</v>
      </c>
      <c r="T222" s="35">
        <v>8265.9</v>
      </c>
      <c r="U222" s="35">
        <v>9766.86</v>
      </c>
      <c r="V222" s="36">
        <v>1888</v>
      </c>
      <c r="W222" s="35"/>
      <c r="X222" s="35"/>
      <c r="Y222" s="35"/>
    </row>
    <row r="223" spans="1:25" ht="15.75" customHeight="1" x14ac:dyDescent="0.25">
      <c r="A223" s="12" t="s">
        <v>80</v>
      </c>
      <c r="B223" s="33">
        <v>500343.87</v>
      </c>
      <c r="C223" s="35">
        <f t="shared" si="3"/>
        <v>124999.95859999998</v>
      </c>
      <c r="D223" s="35"/>
      <c r="E223" s="35"/>
      <c r="F223" s="35"/>
      <c r="G223" s="35">
        <f>77893+1644.33+328.84</f>
        <v>79866.17</v>
      </c>
      <c r="H223" s="35"/>
      <c r="I223" s="35"/>
      <c r="J223" s="35">
        <f>3077.58+9914.68</f>
        <v>12992.26</v>
      </c>
      <c r="K223" s="35">
        <f>376.48+367.11</f>
        <v>743.59</v>
      </c>
      <c r="L223" s="35"/>
      <c r="M223" s="35"/>
      <c r="N223" s="35">
        <v>1251.7085999999999</v>
      </c>
      <c r="O223" s="35"/>
      <c r="P223" s="35"/>
      <c r="Q223" s="35">
        <f>4090.91+20978.04</f>
        <v>25068.95</v>
      </c>
      <c r="R223" s="35"/>
      <c r="S223" s="35"/>
      <c r="T223" s="35">
        <f>2384.64+512</f>
        <v>2896.64</v>
      </c>
      <c r="U223" s="35">
        <v>2180.64</v>
      </c>
      <c r="V223" s="36"/>
      <c r="W223" s="35"/>
      <c r="X223" s="35"/>
      <c r="Y223" s="35"/>
    </row>
    <row r="224" spans="1:25" s="7" customFormat="1" ht="15.75" customHeight="1" x14ac:dyDescent="0.25">
      <c r="A224" s="12" t="s">
        <v>81</v>
      </c>
      <c r="B224" s="33">
        <v>92716.83</v>
      </c>
      <c r="C224" s="35">
        <f t="shared" si="3"/>
        <v>105576.16280000001</v>
      </c>
      <c r="D224" s="35"/>
      <c r="E224" s="35"/>
      <c r="F224" s="35"/>
      <c r="G224" s="35">
        <f>94225+3770.4</f>
        <v>97995.4</v>
      </c>
      <c r="H224" s="35"/>
      <c r="I224" s="35"/>
      <c r="J224" s="35">
        <f>4700+1316.13</f>
        <v>6016.13</v>
      </c>
      <c r="K224" s="35"/>
      <c r="L224" s="35"/>
      <c r="M224" s="35"/>
      <c r="N224" s="35">
        <v>1564.6328000000001</v>
      </c>
      <c r="O224" s="35"/>
      <c r="P224" s="35"/>
      <c r="Q224" s="35"/>
      <c r="R224" s="35"/>
      <c r="S224" s="35"/>
      <c r="T224" s="35"/>
      <c r="U224" s="35"/>
      <c r="V224" s="36"/>
      <c r="W224" s="35"/>
      <c r="X224" s="35"/>
      <c r="Y224" s="35"/>
    </row>
    <row r="225" spans="1:25" s="7" customFormat="1" ht="15.75" customHeight="1" x14ac:dyDescent="0.25">
      <c r="A225" s="12" t="s">
        <v>82</v>
      </c>
      <c r="B225" s="33">
        <v>267724.3</v>
      </c>
      <c r="C225" s="35">
        <f t="shared" si="3"/>
        <v>133196.10399999999</v>
      </c>
      <c r="D225" s="35"/>
      <c r="E225" s="35"/>
      <c r="F225" s="35"/>
      <c r="G225" s="35">
        <v>65331</v>
      </c>
      <c r="H225" s="35"/>
      <c r="I225" s="35"/>
      <c r="J225" s="35">
        <f>787.414+1944.01</f>
        <v>2731.424</v>
      </c>
      <c r="K225" s="35"/>
      <c r="L225" s="35"/>
      <c r="M225" s="35"/>
      <c r="N225" s="35"/>
      <c r="O225" s="35"/>
      <c r="P225" s="35"/>
      <c r="Q225" s="35">
        <f>9140.52+10546.8</f>
        <v>19687.32</v>
      </c>
      <c r="R225" s="35"/>
      <c r="S225" s="35">
        <f>3099.8+6501.2</f>
        <v>9601</v>
      </c>
      <c r="T225" s="35">
        <v>8325.93</v>
      </c>
      <c r="U225" s="35">
        <v>7678.53</v>
      </c>
      <c r="V225" s="36">
        <f>17730.92+2109.98</f>
        <v>19840.899999999998</v>
      </c>
      <c r="W225" s="35"/>
      <c r="X225" s="35"/>
      <c r="Y225" s="35"/>
    </row>
    <row r="226" spans="1:25" s="7" customFormat="1" ht="15.75" customHeight="1" x14ac:dyDescent="0.25">
      <c r="A226" s="13" t="s">
        <v>83</v>
      </c>
      <c r="B226" s="33">
        <v>29448.720000000001</v>
      </c>
      <c r="C226" s="35">
        <f t="shared" si="3"/>
        <v>40967.75</v>
      </c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>
        <v>421</v>
      </c>
      <c r="U226" s="35"/>
      <c r="V226" s="36">
        <f>432.77+1081</f>
        <v>1513.77</v>
      </c>
      <c r="W226" s="35"/>
      <c r="X226" s="35">
        <v>39032.980000000003</v>
      </c>
      <c r="Y226" s="35"/>
    </row>
    <row r="227" spans="1:25" ht="15.75" customHeight="1" x14ac:dyDescent="0.25">
      <c r="A227" s="12" t="s">
        <v>84</v>
      </c>
      <c r="B227" s="33">
        <v>97859.57</v>
      </c>
      <c r="C227" s="35">
        <f t="shared" si="3"/>
        <v>164547.64000000001</v>
      </c>
      <c r="D227" s="35"/>
      <c r="E227" s="35"/>
      <c r="F227" s="35"/>
      <c r="G227" s="35">
        <f>20140.6+264</f>
        <v>20404.599999999999</v>
      </c>
      <c r="H227" s="35"/>
      <c r="I227" s="35"/>
      <c r="J227" s="35">
        <f>1574.84+1536</f>
        <v>3110.84</v>
      </c>
      <c r="K227" s="35"/>
      <c r="L227" s="35"/>
      <c r="M227" s="35"/>
      <c r="N227" s="35"/>
      <c r="O227" s="35"/>
      <c r="P227" s="35"/>
      <c r="Q227" s="35">
        <v>4635</v>
      </c>
      <c r="R227" s="35"/>
      <c r="S227" s="35"/>
      <c r="T227" s="35"/>
      <c r="U227" s="35"/>
      <c r="V227" s="36"/>
      <c r="W227" s="35"/>
      <c r="X227" s="35">
        <v>136397.20000000001</v>
      </c>
      <c r="Y227" s="35"/>
    </row>
    <row r="228" spans="1:25" s="7" customFormat="1" ht="15.75" customHeight="1" x14ac:dyDescent="0.25">
      <c r="A228" s="13" t="s">
        <v>85</v>
      </c>
      <c r="B228" s="33">
        <v>250082.4</v>
      </c>
      <c r="C228" s="35">
        <f t="shared" si="3"/>
        <v>169254.755</v>
      </c>
      <c r="D228" s="35"/>
      <c r="E228" s="35"/>
      <c r="F228" s="35"/>
      <c r="G228" s="35">
        <f>3202+8582.49</f>
        <v>11784.49</v>
      </c>
      <c r="H228" s="35"/>
      <c r="I228" s="35"/>
      <c r="J228" s="35">
        <v>7120</v>
      </c>
      <c r="K228" s="35">
        <v>5698.57</v>
      </c>
      <c r="L228" s="35">
        <v>2121</v>
      </c>
      <c r="M228" s="35">
        <v>3201.15</v>
      </c>
      <c r="N228" s="35">
        <v>11592.355</v>
      </c>
      <c r="O228" s="35">
        <v>3085</v>
      </c>
      <c r="P228" s="35"/>
      <c r="Q228" s="35"/>
      <c r="R228" s="35"/>
      <c r="S228" s="35"/>
      <c r="T228" s="35">
        <f>1684.13+194.7</f>
        <v>1878.8300000000002</v>
      </c>
      <c r="U228" s="35">
        <v>11029.4</v>
      </c>
      <c r="V228" s="36">
        <f>432.77+1080.88</f>
        <v>1513.65</v>
      </c>
      <c r="W228" s="35"/>
      <c r="X228" s="35">
        <v>113431.46</v>
      </c>
      <c r="Y228" s="35"/>
    </row>
    <row r="229" spans="1:25" s="7" customFormat="1" ht="15.75" customHeight="1" x14ac:dyDescent="0.25">
      <c r="A229" s="12" t="s">
        <v>86</v>
      </c>
      <c r="B229" s="33">
        <v>70959.22</v>
      </c>
      <c r="C229" s="35">
        <f t="shared" si="3"/>
        <v>779787.55</v>
      </c>
      <c r="D229" s="35"/>
      <c r="E229" s="35"/>
      <c r="F229" s="35">
        <v>775150</v>
      </c>
      <c r="G229" s="35"/>
      <c r="H229" s="35"/>
      <c r="I229" s="35"/>
      <c r="J229" s="35"/>
      <c r="K229" s="35">
        <v>302</v>
      </c>
      <c r="L229" s="35"/>
      <c r="M229" s="35"/>
      <c r="N229" s="35"/>
      <c r="O229" s="35"/>
      <c r="P229" s="35"/>
      <c r="Q229" s="35">
        <v>3941.39</v>
      </c>
      <c r="R229" s="35"/>
      <c r="S229" s="35">
        <v>394.16</v>
      </c>
      <c r="T229" s="35"/>
      <c r="U229" s="35"/>
      <c r="V229" s="36"/>
      <c r="W229" s="35"/>
      <c r="X229" s="35"/>
      <c r="Y229" s="35"/>
    </row>
    <row r="230" spans="1:25" ht="15.75" customHeight="1" x14ac:dyDescent="0.25">
      <c r="A230" s="13" t="s">
        <v>87</v>
      </c>
      <c r="B230" s="33">
        <v>150790.44</v>
      </c>
      <c r="C230" s="35">
        <f t="shared" si="3"/>
        <v>62366.729999999996</v>
      </c>
      <c r="D230" s="35"/>
      <c r="E230" s="35"/>
      <c r="F230" s="35"/>
      <c r="G230" s="35"/>
      <c r="H230" s="35"/>
      <c r="I230" s="35"/>
      <c r="J230" s="35">
        <v>273</v>
      </c>
      <c r="K230" s="35"/>
      <c r="L230" s="35"/>
      <c r="M230" s="35"/>
      <c r="N230" s="35"/>
      <c r="O230" s="35"/>
      <c r="P230" s="35"/>
      <c r="Q230" s="35"/>
      <c r="R230" s="35"/>
      <c r="S230" s="35">
        <v>1383.67</v>
      </c>
      <c r="T230" s="35">
        <v>2611.66</v>
      </c>
      <c r="U230" s="35"/>
      <c r="V230" s="36">
        <f>432.77+1080.88</f>
        <v>1513.65</v>
      </c>
      <c r="W230" s="35"/>
      <c r="X230" s="35">
        <v>56584.75</v>
      </c>
      <c r="Y230" s="35"/>
    </row>
    <row r="231" spans="1:25" ht="15.75" customHeight="1" x14ac:dyDescent="0.25">
      <c r="A231" s="12" t="s">
        <v>88</v>
      </c>
      <c r="B231" s="33">
        <v>146008.97</v>
      </c>
      <c r="C231" s="35">
        <f t="shared" si="3"/>
        <v>712067.7</v>
      </c>
      <c r="D231" s="35"/>
      <c r="E231" s="35">
        <v>248389</v>
      </c>
      <c r="F231" s="35"/>
      <c r="G231" s="35">
        <v>257549.7</v>
      </c>
      <c r="H231" s="35">
        <v>205224</v>
      </c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>
        <v>905</v>
      </c>
      <c r="U231" s="35"/>
      <c r="V231" s="36"/>
      <c r="W231" s="35"/>
      <c r="X231" s="35"/>
      <c r="Y231" s="35"/>
    </row>
    <row r="232" spans="1:25" s="56" customFormat="1" ht="15.75" customHeight="1" x14ac:dyDescent="0.25">
      <c r="A232" s="12" t="s">
        <v>89</v>
      </c>
      <c r="B232" s="33">
        <v>115274.03</v>
      </c>
      <c r="C232" s="35">
        <f t="shared" si="3"/>
        <v>216038.55899999998</v>
      </c>
      <c r="D232" s="35">
        <v>2380</v>
      </c>
      <c r="E232" s="35"/>
      <c r="F232" s="35"/>
      <c r="G232" s="35">
        <f>175887.6+3489.86</f>
        <v>179377.46</v>
      </c>
      <c r="H232" s="35"/>
      <c r="I232" s="35"/>
      <c r="J232" s="35"/>
      <c r="K232" s="35"/>
      <c r="L232" s="35">
        <v>17110</v>
      </c>
      <c r="M232" s="35"/>
      <c r="N232" s="35"/>
      <c r="O232" s="35"/>
      <c r="P232" s="35"/>
      <c r="Q232" s="35"/>
      <c r="R232" s="35"/>
      <c r="S232" s="35"/>
      <c r="T232" s="35">
        <f>2001.88+579.899</f>
        <v>2581.779</v>
      </c>
      <c r="U232" s="35">
        <f>5777.8+6866</f>
        <v>12643.8</v>
      </c>
      <c r="V232" s="36">
        <f>865.52+1080</f>
        <v>1945.52</v>
      </c>
      <c r="W232" s="35"/>
      <c r="X232" s="35"/>
      <c r="Y232" s="35"/>
    </row>
    <row r="233" spans="1:25" ht="15.75" customHeight="1" x14ac:dyDescent="0.25">
      <c r="A233" s="12" t="s">
        <v>90</v>
      </c>
      <c r="B233" s="33">
        <v>104649.84</v>
      </c>
      <c r="C233" s="35">
        <f t="shared" si="3"/>
        <v>0</v>
      </c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6"/>
      <c r="W233" s="35"/>
      <c r="X233" s="35"/>
      <c r="Y233" s="35"/>
    </row>
    <row r="234" spans="1:25" s="7" customFormat="1" ht="15.75" customHeight="1" x14ac:dyDescent="0.25">
      <c r="A234" s="12" t="s">
        <v>91</v>
      </c>
      <c r="B234" s="33">
        <v>164472.93</v>
      </c>
      <c r="C234" s="35">
        <f t="shared" si="3"/>
        <v>5197.0369999999994</v>
      </c>
      <c r="D234" s="35"/>
      <c r="E234" s="35"/>
      <c r="F234" s="35"/>
      <c r="G234" s="35">
        <v>627.67700000000002</v>
      </c>
      <c r="H234" s="35"/>
      <c r="I234" s="35"/>
      <c r="J234" s="35">
        <v>565.22</v>
      </c>
      <c r="K234" s="35"/>
      <c r="L234" s="35"/>
      <c r="M234" s="35"/>
      <c r="N234" s="35"/>
      <c r="O234" s="35"/>
      <c r="P234" s="35"/>
      <c r="Q234" s="35"/>
      <c r="R234" s="35"/>
      <c r="S234" s="35"/>
      <c r="T234" s="35">
        <f>1043.83+324.5</f>
        <v>1368.33</v>
      </c>
      <c r="U234" s="35">
        <v>1527.07</v>
      </c>
      <c r="V234" s="36">
        <v>1108.74</v>
      </c>
      <c r="W234" s="35"/>
      <c r="X234" s="35"/>
      <c r="Y234" s="35"/>
    </row>
    <row r="235" spans="1:25" s="7" customFormat="1" ht="15.75" customHeight="1" x14ac:dyDescent="0.25">
      <c r="A235" s="12" t="s">
        <v>92</v>
      </c>
      <c r="B235" s="33">
        <v>133747.92000000001</v>
      </c>
      <c r="C235" s="35">
        <f t="shared" si="3"/>
        <v>8236.4500000000007</v>
      </c>
      <c r="D235" s="35"/>
      <c r="E235" s="35"/>
      <c r="F235" s="35"/>
      <c r="G235" s="35">
        <v>941.51</v>
      </c>
      <c r="H235" s="35"/>
      <c r="I235" s="35"/>
      <c r="J235" s="35"/>
      <c r="K235" s="35"/>
      <c r="L235" s="35"/>
      <c r="M235" s="35"/>
      <c r="N235" s="35"/>
      <c r="O235" s="35"/>
      <c r="P235" s="35">
        <v>4611.6450000000004</v>
      </c>
      <c r="Q235" s="35">
        <v>985</v>
      </c>
      <c r="R235" s="35"/>
      <c r="S235" s="35">
        <v>1027.3</v>
      </c>
      <c r="T235" s="35">
        <v>670.995</v>
      </c>
      <c r="U235" s="35"/>
      <c r="V235" s="36"/>
      <c r="W235" s="35"/>
      <c r="X235" s="35"/>
      <c r="Y235" s="35"/>
    </row>
    <row r="236" spans="1:25" s="7" customFormat="1" ht="15.75" customHeight="1" x14ac:dyDescent="0.25">
      <c r="A236" s="12" t="s">
        <v>93</v>
      </c>
      <c r="B236" s="33">
        <v>168433.17</v>
      </c>
      <c r="C236" s="35">
        <f t="shared" si="3"/>
        <v>275492.49800000002</v>
      </c>
      <c r="D236" s="35"/>
      <c r="E236" s="35"/>
      <c r="F236" s="35"/>
      <c r="G236" s="35">
        <f>627.677+48214.2</f>
        <v>48841.877</v>
      </c>
      <c r="H236" s="35"/>
      <c r="I236" s="35"/>
      <c r="J236" s="35">
        <f>188+765.631</f>
        <v>953.63099999999997</v>
      </c>
      <c r="K236" s="35"/>
      <c r="L236" s="35">
        <v>13725</v>
      </c>
      <c r="M236" s="35"/>
      <c r="N236" s="35">
        <v>783.06</v>
      </c>
      <c r="O236" s="35">
        <v>5780.91</v>
      </c>
      <c r="P236" s="35"/>
      <c r="Q236" s="35">
        <f>2486.4+11579.18+6046.78</f>
        <v>20112.36</v>
      </c>
      <c r="R236" s="35"/>
      <c r="S236" s="35">
        <f>405.96+2975.4+861.99+467.28</f>
        <v>4710.63</v>
      </c>
      <c r="T236" s="35">
        <v>40414.1</v>
      </c>
      <c r="U236" s="35">
        <v>21297.7</v>
      </c>
      <c r="V236" s="36">
        <v>28145.53</v>
      </c>
      <c r="W236" s="35"/>
      <c r="X236" s="35">
        <v>90727.7</v>
      </c>
      <c r="Y236" s="35"/>
    </row>
    <row r="237" spans="1:25" ht="15.75" customHeight="1" x14ac:dyDescent="0.25">
      <c r="A237" s="12" t="s">
        <v>94</v>
      </c>
      <c r="B237" s="33">
        <v>43110.59</v>
      </c>
      <c r="C237" s="35">
        <f t="shared" si="3"/>
        <v>0</v>
      </c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6"/>
      <c r="W237" s="35"/>
      <c r="X237" s="35"/>
      <c r="Y237" s="35"/>
    </row>
    <row r="238" spans="1:25" s="7" customFormat="1" ht="15.75" customHeight="1" x14ac:dyDescent="0.25">
      <c r="A238" s="12" t="s">
        <v>95</v>
      </c>
      <c r="B238" s="33">
        <v>279073.87</v>
      </c>
      <c r="C238" s="35">
        <f t="shared" si="3"/>
        <v>302021.16200000001</v>
      </c>
      <c r="D238" s="35"/>
      <c r="E238" s="35"/>
      <c r="F238" s="35"/>
      <c r="G238" s="35">
        <v>1614.28</v>
      </c>
      <c r="H238" s="35">
        <v>114447</v>
      </c>
      <c r="I238" s="35"/>
      <c r="J238" s="35">
        <v>3641.2</v>
      </c>
      <c r="K238" s="35">
        <v>4290</v>
      </c>
      <c r="L238" s="35">
        <v>6695.5</v>
      </c>
      <c r="M238" s="35"/>
      <c r="N238" s="35"/>
      <c r="O238" s="35"/>
      <c r="P238" s="35"/>
      <c r="Q238" s="35">
        <f>27635.32+6695.5</f>
        <v>34330.82</v>
      </c>
      <c r="R238" s="35"/>
      <c r="S238" s="35"/>
      <c r="T238" s="35">
        <f>1010.48+13361.1</f>
        <v>14371.58</v>
      </c>
      <c r="U238" s="35">
        <f>238.89+130.142+4868.68</f>
        <v>5237.7120000000004</v>
      </c>
      <c r="V238" s="36">
        <v>1080</v>
      </c>
      <c r="W238" s="35"/>
      <c r="X238" s="35">
        <v>116313.07</v>
      </c>
      <c r="Y238" s="35"/>
    </row>
    <row r="239" spans="1:25" s="7" customFormat="1" ht="15.75" customHeight="1" x14ac:dyDescent="0.25">
      <c r="A239" s="12" t="s">
        <v>96</v>
      </c>
      <c r="B239" s="33">
        <v>96287.52</v>
      </c>
      <c r="C239" s="35">
        <f t="shared" si="3"/>
        <v>65535.73</v>
      </c>
      <c r="D239" s="35"/>
      <c r="E239" s="35"/>
      <c r="F239" s="35"/>
      <c r="G239" s="35"/>
      <c r="H239" s="35"/>
      <c r="I239" s="35"/>
      <c r="J239" s="35">
        <v>766.63</v>
      </c>
      <c r="K239" s="35"/>
      <c r="L239" s="35"/>
      <c r="M239" s="35"/>
      <c r="N239" s="35">
        <v>4167.5200000000004</v>
      </c>
      <c r="O239" s="35"/>
      <c r="P239" s="35"/>
      <c r="Q239" s="40"/>
      <c r="R239" s="35"/>
      <c r="S239" s="35"/>
      <c r="T239" s="35"/>
      <c r="U239" s="35"/>
      <c r="V239" s="36"/>
      <c r="W239" s="35"/>
      <c r="X239" s="35">
        <v>60601.58</v>
      </c>
      <c r="Y239" s="35"/>
    </row>
    <row r="240" spans="1:25" s="7" customFormat="1" ht="15.75" customHeight="1" x14ac:dyDescent="0.25">
      <c r="A240" s="12" t="s">
        <v>97</v>
      </c>
      <c r="B240" s="33">
        <v>410535.32</v>
      </c>
      <c r="C240" s="35">
        <f t="shared" si="3"/>
        <v>240561.86579899996</v>
      </c>
      <c r="D240" s="35">
        <f>5369.58+16293.641</f>
        <v>21663.220999999998</v>
      </c>
      <c r="E240" s="35"/>
      <c r="F240" s="35"/>
      <c r="G240" s="35">
        <v>6124.46</v>
      </c>
      <c r="H240" s="35"/>
      <c r="I240" s="35"/>
      <c r="J240" s="35">
        <f>2073.35+6156+2934.22+2572.11+5124.021199</f>
        <v>18859.701198999999</v>
      </c>
      <c r="K240" s="35"/>
      <c r="L240" s="35">
        <v>4725.5600000000004</v>
      </c>
      <c r="M240" s="35"/>
      <c r="N240" s="35">
        <f>1251.7086+9549.86</f>
        <v>10801.568600000001</v>
      </c>
      <c r="O240" s="35"/>
      <c r="P240" s="35"/>
      <c r="Q240" s="35">
        <f>5493+2065.625</f>
        <v>7558.625</v>
      </c>
      <c r="R240" s="35"/>
      <c r="S240" s="35">
        <f>365.505+345.74</f>
        <v>711.245</v>
      </c>
      <c r="T240" s="35">
        <v>2319.62</v>
      </c>
      <c r="U240" s="35">
        <f>390.415+3458.38</f>
        <v>3848.7950000000001</v>
      </c>
      <c r="V240" s="36">
        <v>24408.3</v>
      </c>
      <c r="W240" s="35"/>
      <c r="X240" s="35">
        <v>139540.76999999999</v>
      </c>
      <c r="Y240" s="35"/>
    </row>
    <row r="241" spans="1:25" s="7" customFormat="1" ht="15.75" customHeight="1" x14ac:dyDescent="0.25">
      <c r="A241" s="13" t="s">
        <v>98</v>
      </c>
      <c r="B241" s="33">
        <v>712194.72</v>
      </c>
      <c r="C241" s="35">
        <f t="shared" si="3"/>
        <v>503661.96899999998</v>
      </c>
      <c r="D241" s="35"/>
      <c r="E241" s="35"/>
      <c r="F241" s="35"/>
      <c r="G241" s="35">
        <v>21985.95</v>
      </c>
      <c r="H241" s="35"/>
      <c r="I241" s="35"/>
      <c r="J241" s="35">
        <f>2362.24+1136</f>
        <v>3498.24</v>
      </c>
      <c r="K241" s="35"/>
      <c r="L241" s="35">
        <v>3640</v>
      </c>
      <c r="M241" s="35"/>
      <c r="N241" s="35">
        <v>9093.4699999999993</v>
      </c>
      <c r="O241" s="35"/>
      <c r="P241" s="35"/>
      <c r="Q241" s="35">
        <f>2687.757+28353.38+13868.54</f>
        <v>44909.677000000003</v>
      </c>
      <c r="R241" s="35"/>
      <c r="S241" s="35">
        <v>1037.2</v>
      </c>
      <c r="T241" s="35">
        <v>842.072</v>
      </c>
      <c r="U241" s="35"/>
      <c r="V241" s="36">
        <v>1080.8800000000001</v>
      </c>
      <c r="W241" s="35"/>
      <c r="X241" s="35">
        <v>417574.48</v>
      </c>
      <c r="Y241" s="35"/>
    </row>
    <row r="242" spans="1:25" ht="15.75" customHeight="1" x14ac:dyDescent="0.25">
      <c r="A242" s="12" t="s">
        <v>99</v>
      </c>
      <c r="B242" s="33">
        <v>11885.86</v>
      </c>
      <c r="C242" s="35">
        <f t="shared" si="3"/>
        <v>5282.3850000000002</v>
      </c>
      <c r="D242" s="35"/>
      <c r="E242" s="35"/>
      <c r="F242" s="35"/>
      <c r="G242" s="35"/>
      <c r="H242" s="35"/>
      <c r="I242" s="35"/>
      <c r="J242" s="35">
        <v>1820</v>
      </c>
      <c r="K242" s="35">
        <v>601</v>
      </c>
      <c r="L242" s="35"/>
      <c r="M242" s="35"/>
      <c r="N242" s="35"/>
      <c r="O242" s="35"/>
      <c r="P242" s="35"/>
      <c r="Q242" s="35"/>
      <c r="R242" s="35"/>
      <c r="S242" s="35"/>
      <c r="T242" s="35">
        <v>344.26499999999999</v>
      </c>
      <c r="U242" s="35">
        <v>2517.12</v>
      </c>
      <c r="V242" s="36"/>
      <c r="W242" s="35"/>
      <c r="X242" s="35"/>
      <c r="Y242" s="35"/>
    </row>
    <row r="243" spans="1:25" s="7" customFormat="1" ht="15.75" customHeight="1" x14ac:dyDescent="0.25">
      <c r="A243" s="12" t="s">
        <v>100</v>
      </c>
      <c r="B243" s="33">
        <v>175268.31</v>
      </c>
      <c r="C243" s="35">
        <f t="shared" si="3"/>
        <v>98150.559999999983</v>
      </c>
      <c r="D243" s="35">
        <v>12414</v>
      </c>
      <c r="E243" s="35"/>
      <c r="F243" s="35"/>
      <c r="G243" s="35">
        <f>9642.38+61379.6</f>
        <v>71021.98</v>
      </c>
      <c r="H243" s="35"/>
      <c r="I243" s="35"/>
      <c r="J243" s="35"/>
      <c r="K243" s="35"/>
      <c r="L243" s="35"/>
      <c r="M243" s="35"/>
      <c r="N243" s="35"/>
      <c r="O243" s="35"/>
      <c r="P243" s="35"/>
      <c r="Q243" s="35">
        <f>3250.84+3624</f>
        <v>6874.84</v>
      </c>
      <c r="R243" s="35"/>
      <c r="S243" s="35"/>
      <c r="T243" s="35">
        <v>1653.68</v>
      </c>
      <c r="U243" s="35">
        <v>4455.01</v>
      </c>
      <c r="V243" s="36">
        <v>1731.05</v>
      </c>
      <c r="W243" s="35"/>
      <c r="X243" s="35"/>
      <c r="Y243" s="35"/>
    </row>
    <row r="244" spans="1:25" s="7" customFormat="1" ht="15.75" customHeight="1" x14ac:dyDescent="0.25">
      <c r="A244" s="13" t="s">
        <v>101</v>
      </c>
      <c r="B244" s="33">
        <v>152082.96</v>
      </c>
      <c r="C244" s="35">
        <f t="shared" si="3"/>
        <v>119588.85</v>
      </c>
      <c r="D244" s="35"/>
      <c r="E244" s="35"/>
      <c r="F244" s="35"/>
      <c r="G244" s="35"/>
      <c r="H244" s="35">
        <v>98218</v>
      </c>
      <c r="I244" s="35"/>
      <c r="J244" s="35">
        <f>6232.09+2528.76</f>
        <v>8760.85</v>
      </c>
      <c r="K244" s="35"/>
      <c r="L244" s="35"/>
      <c r="M244" s="35">
        <v>6402.31</v>
      </c>
      <c r="N244" s="35"/>
      <c r="O244" s="35"/>
      <c r="P244" s="35"/>
      <c r="Q244" s="35">
        <f>5452+6466.52</f>
        <v>11918.52</v>
      </c>
      <c r="R244" s="35"/>
      <c r="S244" s="35">
        <v>691.48</v>
      </c>
      <c r="T244" s="35"/>
      <c r="U244" s="35"/>
      <c r="V244" s="36"/>
      <c r="W244" s="35"/>
      <c r="X244" s="35"/>
      <c r="Y244" s="35"/>
    </row>
    <row r="245" spans="1:25" s="7" customFormat="1" ht="15.75" customHeight="1" x14ac:dyDescent="0.25">
      <c r="A245" s="13" t="s">
        <v>102</v>
      </c>
      <c r="B245" s="33">
        <v>388756.08</v>
      </c>
      <c r="C245" s="35">
        <f t="shared" si="3"/>
        <v>39466.133999999991</v>
      </c>
      <c r="D245" s="35"/>
      <c r="E245" s="35"/>
      <c r="F245" s="35"/>
      <c r="G245" s="35"/>
      <c r="H245" s="35"/>
      <c r="I245" s="35"/>
      <c r="J245" s="35"/>
      <c r="K245" s="35">
        <v>376.48</v>
      </c>
      <c r="L245" s="35">
        <v>7734.09</v>
      </c>
      <c r="M245" s="35"/>
      <c r="N245" s="35"/>
      <c r="O245" s="35"/>
      <c r="P245" s="35"/>
      <c r="Q245" s="35">
        <v>2413.4499999999998</v>
      </c>
      <c r="R245" s="35"/>
      <c r="S245" s="35">
        <v>691.83399999999995</v>
      </c>
      <c r="T245" s="35">
        <f>18606.8+413.26+732</f>
        <v>19752.059999999998</v>
      </c>
      <c r="U245" s="35">
        <v>4721.7700000000004</v>
      </c>
      <c r="V245" s="36">
        <v>3776.45</v>
      </c>
      <c r="W245" s="35"/>
      <c r="X245" s="35"/>
      <c r="Y245" s="35"/>
    </row>
    <row r="246" spans="1:25" s="7" customFormat="1" ht="15.75" customHeight="1" x14ac:dyDescent="0.25">
      <c r="A246" s="13" t="s">
        <v>103</v>
      </c>
      <c r="B246" s="33">
        <v>84811.68</v>
      </c>
      <c r="C246" s="35">
        <f t="shared" si="3"/>
        <v>152800.42000000001</v>
      </c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>
        <v>5781.4340000000002</v>
      </c>
      <c r="P246" s="35"/>
      <c r="Q246" s="35">
        <f>2253.776+65415.52+65803.9</f>
        <v>133473.196</v>
      </c>
      <c r="R246" s="35"/>
      <c r="S246" s="35">
        <f>3246.17+1400.12+7391.5</f>
        <v>12037.79</v>
      </c>
      <c r="T246" s="35">
        <v>1508</v>
      </c>
      <c r="U246" s="35"/>
      <c r="V246" s="36"/>
      <c r="W246" s="35"/>
      <c r="X246" s="35"/>
      <c r="Y246" s="35"/>
    </row>
    <row r="247" spans="1:25" s="10" customFormat="1" ht="15.75" customHeight="1" x14ac:dyDescent="0.25">
      <c r="A247" s="50" t="s">
        <v>104</v>
      </c>
      <c r="B247" s="51">
        <v>510693.96</v>
      </c>
      <c r="C247" s="41">
        <f t="shared" si="3"/>
        <v>24663.8</v>
      </c>
      <c r="D247" s="41"/>
      <c r="E247" s="41"/>
      <c r="F247" s="41"/>
      <c r="G247" s="41">
        <v>3659.92</v>
      </c>
      <c r="H247" s="41"/>
      <c r="I247" s="41"/>
      <c r="J247" s="41">
        <v>2610.56</v>
      </c>
      <c r="K247" s="41">
        <f>752.95+1867.3+301</f>
        <v>2921.25</v>
      </c>
      <c r="L247" s="41"/>
      <c r="M247" s="41"/>
      <c r="N247" s="41"/>
      <c r="O247" s="41"/>
      <c r="P247" s="41"/>
      <c r="Q247" s="41">
        <v>1229.18</v>
      </c>
      <c r="R247" s="41">
        <v>4626.3900000000003</v>
      </c>
      <c r="S247" s="41">
        <v>1484.5</v>
      </c>
      <c r="T247" s="41">
        <v>2844</v>
      </c>
      <c r="U247" s="41"/>
      <c r="V247" s="42">
        <v>5288</v>
      </c>
      <c r="W247" s="41"/>
      <c r="X247" s="41"/>
      <c r="Y247" s="41"/>
    </row>
    <row r="248" spans="1:25" s="7" customFormat="1" ht="15.75" customHeight="1" x14ac:dyDescent="0.25">
      <c r="A248" s="13" t="s">
        <v>105</v>
      </c>
      <c r="B248" s="33">
        <v>89065.56</v>
      </c>
      <c r="C248" s="35">
        <f t="shared" si="3"/>
        <v>6186.42</v>
      </c>
      <c r="D248" s="35"/>
      <c r="E248" s="35">
        <v>3231</v>
      </c>
      <c r="F248" s="35"/>
      <c r="G248" s="35">
        <v>876.91</v>
      </c>
      <c r="H248" s="35"/>
      <c r="I248" s="35"/>
      <c r="J248" s="35"/>
      <c r="K248" s="35"/>
      <c r="L248" s="35"/>
      <c r="M248" s="35"/>
      <c r="N248" s="35"/>
      <c r="O248" s="35"/>
      <c r="P248" s="35"/>
      <c r="Q248" s="35">
        <v>1849</v>
      </c>
      <c r="R248" s="35"/>
      <c r="S248" s="35"/>
      <c r="T248" s="35">
        <v>229.51</v>
      </c>
      <c r="U248" s="35"/>
      <c r="V248" s="36"/>
      <c r="W248" s="35"/>
      <c r="X248" s="35"/>
      <c r="Y248" s="35"/>
    </row>
    <row r="249" spans="1:25" ht="15.75" customHeight="1" x14ac:dyDescent="0.25">
      <c r="A249" s="13" t="s">
        <v>106</v>
      </c>
      <c r="B249" s="33">
        <v>88447.2</v>
      </c>
      <c r="C249" s="35">
        <f t="shared" si="3"/>
        <v>4008</v>
      </c>
      <c r="D249" s="35"/>
      <c r="E249" s="35"/>
      <c r="F249" s="35"/>
      <c r="G249" s="35"/>
      <c r="H249" s="35"/>
      <c r="I249" s="35"/>
      <c r="J249" s="35">
        <v>4008</v>
      </c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6"/>
      <c r="W249" s="35"/>
      <c r="X249" s="35"/>
      <c r="Y249" s="35"/>
    </row>
    <row r="250" spans="1:25" s="7" customFormat="1" ht="15.75" customHeight="1" x14ac:dyDescent="0.25">
      <c r="A250" s="13" t="s">
        <v>107</v>
      </c>
      <c r="B250" s="33">
        <v>268803.84000000003</v>
      </c>
      <c r="C250" s="35">
        <f t="shared" si="3"/>
        <v>131339.39000000001</v>
      </c>
      <c r="D250" s="35"/>
      <c r="E250" s="35"/>
      <c r="F250" s="35">
        <v>115785</v>
      </c>
      <c r="G250" s="35"/>
      <c r="H250" s="35"/>
      <c r="I250" s="35"/>
      <c r="J250" s="35">
        <v>5979.7</v>
      </c>
      <c r="K250" s="35"/>
      <c r="L250" s="35"/>
      <c r="M250" s="35"/>
      <c r="N250" s="35"/>
      <c r="O250" s="35">
        <f>5781.43+1799.04</f>
        <v>7580.47</v>
      </c>
      <c r="P250" s="35"/>
      <c r="Q250" s="35">
        <v>1800.42</v>
      </c>
      <c r="R250" s="35"/>
      <c r="S250" s="35">
        <v>193.8</v>
      </c>
      <c r="T250" s="35"/>
      <c r="U250" s="35"/>
      <c r="V250" s="36"/>
      <c r="W250" s="35"/>
      <c r="X250" s="35"/>
      <c r="Y250" s="35"/>
    </row>
    <row r="251" spans="1:25" ht="15.75" customHeight="1" x14ac:dyDescent="0.25">
      <c r="A251" s="13" t="s">
        <v>108</v>
      </c>
      <c r="B251" s="33">
        <v>224923.56</v>
      </c>
      <c r="C251" s="35">
        <f t="shared" si="3"/>
        <v>0</v>
      </c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6"/>
      <c r="W251" s="35"/>
      <c r="X251" s="35"/>
      <c r="Y251" s="35"/>
    </row>
    <row r="252" spans="1:25" ht="15.75" customHeight="1" x14ac:dyDescent="0.25">
      <c r="A252" s="13" t="s">
        <v>109</v>
      </c>
      <c r="B252" s="33">
        <v>191302.32</v>
      </c>
      <c r="C252" s="35">
        <f t="shared" si="3"/>
        <v>0</v>
      </c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6"/>
      <c r="W252" s="35"/>
      <c r="X252" s="35"/>
      <c r="Y252" s="35"/>
    </row>
    <row r="253" spans="1:25" s="56" customFormat="1" ht="15.75" customHeight="1" x14ac:dyDescent="0.25">
      <c r="A253" s="13" t="s">
        <v>110</v>
      </c>
      <c r="B253" s="33">
        <v>55803.24</v>
      </c>
      <c r="C253" s="35">
        <f t="shared" si="3"/>
        <v>63375.28</v>
      </c>
      <c r="D253" s="35"/>
      <c r="E253" s="35"/>
      <c r="F253" s="35"/>
      <c r="G253" s="35">
        <v>982.26</v>
      </c>
      <c r="H253" s="35"/>
      <c r="I253" s="35"/>
      <c r="J253" s="35">
        <v>2752</v>
      </c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6"/>
      <c r="W253" s="35"/>
      <c r="X253" s="35">
        <v>59641.02</v>
      </c>
      <c r="Y253" s="35"/>
    </row>
    <row r="254" spans="1:25" s="7" customFormat="1" ht="15.75" customHeight="1" x14ac:dyDescent="0.25">
      <c r="A254" s="13" t="s">
        <v>111</v>
      </c>
      <c r="B254" s="33">
        <v>123494.64</v>
      </c>
      <c r="C254" s="35">
        <f t="shared" si="3"/>
        <v>6479.4299999999994</v>
      </c>
      <c r="D254" s="35"/>
      <c r="E254" s="35"/>
      <c r="F254" s="35"/>
      <c r="G254" s="35"/>
      <c r="H254" s="35"/>
      <c r="I254" s="35"/>
      <c r="J254" s="35">
        <v>565.26</v>
      </c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>
        <v>3982.97</v>
      </c>
      <c r="V254" s="36">
        <v>1931.2</v>
      </c>
      <c r="W254" s="35"/>
      <c r="X254" s="35"/>
      <c r="Y254" s="35"/>
    </row>
    <row r="255" spans="1:25" s="7" customFormat="1" ht="15.75" customHeight="1" x14ac:dyDescent="0.25">
      <c r="A255" s="13" t="s">
        <v>112</v>
      </c>
      <c r="B255" s="33">
        <v>231943.08</v>
      </c>
      <c r="C255" s="35">
        <f t="shared" si="3"/>
        <v>6069.18</v>
      </c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>
        <v>5612</v>
      </c>
      <c r="R255" s="35"/>
      <c r="S255" s="35"/>
      <c r="T255" s="35"/>
      <c r="U255" s="35">
        <v>457.18</v>
      </c>
      <c r="V255" s="36"/>
      <c r="W255" s="35"/>
      <c r="X255" s="35"/>
      <c r="Y255" s="35"/>
    </row>
    <row r="256" spans="1:25" s="7" customFormat="1" ht="15.75" customHeight="1" x14ac:dyDescent="0.25">
      <c r="A256" s="13" t="s">
        <v>113</v>
      </c>
      <c r="B256" s="33">
        <v>97700</v>
      </c>
      <c r="C256" s="35">
        <f t="shared" si="3"/>
        <v>9417.869999999999</v>
      </c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>
        <v>7273.73</v>
      </c>
      <c r="U256" s="35">
        <v>2144.14</v>
      </c>
      <c r="V256" s="36"/>
      <c r="W256" s="35"/>
      <c r="X256" s="35"/>
      <c r="Y256" s="35"/>
    </row>
    <row r="257" spans="1:25" s="7" customFormat="1" ht="15.75" customHeight="1" x14ac:dyDescent="0.25">
      <c r="A257" s="13" t="s">
        <v>114</v>
      </c>
      <c r="B257" s="33">
        <v>95534.28</v>
      </c>
      <c r="C257" s="35">
        <f t="shared" si="3"/>
        <v>140501.799</v>
      </c>
      <c r="D257" s="35">
        <v>672.06899999999996</v>
      </c>
      <c r="E257" s="35"/>
      <c r="F257" s="35"/>
      <c r="G257" s="35"/>
      <c r="H257" s="35"/>
      <c r="I257" s="35"/>
      <c r="J257" s="35">
        <v>4126</v>
      </c>
      <c r="K257" s="35"/>
      <c r="L257" s="35">
        <v>11664</v>
      </c>
      <c r="M257" s="35"/>
      <c r="N257" s="35"/>
      <c r="O257" s="35"/>
      <c r="P257" s="35"/>
      <c r="Q257" s="35">
        <v>18573</v>
      </c>
      <c r="R257" s="35"/>
      <c r="S257" s="35"/>
      <c r="T257" s="35">
        <v>7930</v>
      </c>
      <c r="U257" s="35">
        <v>7534.77</v>
      </c>
      <c r="V257" s="36">
        <f>1894.94+2217.49+4156</f>
        <v>8268.43</v>
      </c>
      <c r="W257" s="35"/>
      <c r="X257" s="35">
        <v>81733.53</v>
      </c>
      <c r="Y257" s="35"/>
    </row>
    <row r="258" spans="1:25" ht="15.75" customHeight="1" x14ac:dyDescent="0.25">
      <c r="A258" s="13" t="s">
        <v>115</v>
      </c>
      <c r="B258" s="33">
        <v>78760.320000000007</v>
      </c>
      <c r="C258" s="35">
        <f t="shared" si="3"/>
        <v>1690.31</v>
      </c>
      <c r="D258" s="35"/>
      <c r="E258" s="35"/>
      <c r="F258" s="35"/>
      <c r="G258" s="35"/>
      <c r="H258" s="35"/>
      <c r="I258" s="35"/>
      <c r="J258" s="35"/>
      <c r="K258" s="35">
        <v>378.54</v>
      </c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6">
        <f>432.77+879</f>
        <v>1311.77</v>
      </c>
      <c r="W258" s="35"/>
      <c r="X258" s="35"/>
      <c r="Y258" s="35"/>
    </row>
    <row r="259" spans="1:25" s="7" customFormat="1" ht="15.75" customHeight="1" x14ac:dyDescent="0.25">
      <c r="A259" s="13" t="s">
        <v>116</v>
      </c>
      <c r="B259" s="33">
        <v>25630.68</v>
      </c>
      <c r="C259" s="35">
        <f t="shared" si="3"/>
        <v>21471.370000000003</v>
      </c>
      <c r="D259" s="35"/>
      <c r="E259" s="35"/>
      <c r="F259" s="35"/>
      <c r="G259" s="35"/>
      <c r="H259" s="35"/>
      <c r="I259" s="35"/>
      <c r="J259" s="35">
        <v>2616</v>
      </c>
      <c r="K259" s="35">
        <v>376.48</v>
      </c>
      <c r="L259" s="35"/>
      <c r="M259" s="35"/>
      <c r="N259" s="35"/>
      <c r="O259" s="35"/>
      <c r="P259" s="35"/>
      <c r="Q259" s="35">
        <v>8780.7900000000009</v>
      </c>
      <c r="R259" s="35"/>
      <c r="S259" s="35"/>
      <c r="T259" s="35"/>
      <c r="U259" s="35"/>
      <c r="V259" s="36">
        <f>432.77+4026</f>
        <v>4458.7700000000004</v>
      </c>
      <c r="W259" s="35"/>
      <c r="X259" s="35">
        <v>5239.33</v>
      </c>
      <c r="Y259" s="35"/>
    </row>
    <row r="260" spans="1:25" s="54" customFormat="1" ht="15.75" customHeight="1" x14ac:dyDescent="0.25">
      <c r="A260" s="13" t="s">
        <v>117</v>
      </c>
      <c r="B260" s="33">
        <v>110412.84</v>
      </c>
      <c r="C260" s="35">
        <f t="shared" si="3"/>
        <v>98648.5478</v>
      </c>
      <c r="D260" s="35">
        <v>2732.0068000000001</v>
      </c>
      <c r="E260" s="35"/>
      <c r="F260" s="35"/>
      <c r="G260" s="35">
        <v>9554.81</v>
      </c>
      <c r="H260" s="35"/>
      <c r="I260" s="35"/>
      <c r="J260" s="35"/>
      <c r="K260" s="35"/>
      <c r="L260" s="35">
        <f>1871+2121</f>
        <v>3992</v>
      </c>
      <c r="M260" s="35"/>
      <c r="N260" s="35"/>
      <c r="O260" s="35"/>
      <c r="P260" s="35"/>
      <c r="Q260" s="35">
        <v>2255.35</v>
      </c>
      <c r="R260" s="35"/>
      <c r="S260" s="35">
        <v>474.63099999999997</v>
      </c>
      <c r="T260" s="35"/>
      <c r="U260" s="35"/>
      <c r="V260" s="36">
        <f>432.77+879</f>
        <v>1311.77</v>
      </c>
      <c r="W260" s="35"/>
      <c r="X260" s="35">
        <v>78327.98</v>
      </c>
      <c r="Y260" s="35"/>
    </row>
    <row r="261" spans="1:25" ht="15.75" customHeight="1" x14ac:dyDescent="0.25">
      <c r="A261" s="17" t="s">
        <v>118</v>
      </c>
      <c r="B261" s="32">
        <v>105162.84</v>
      </c>
      <c r="C261" s="52">
        <f t="shared" si="3"/>
        <v>49274.68</v>
      </c>
      <c r="D261" s="52"/>
      <c r="E261" s="52"/>
      <c r="F261" s="52"/>
      <c r="G261" s="52"/>
      <c r="H261" s="52"/>
      <c r="I261" s="52"/>
      <c r="J261" s="52">
        <v>2959</v>
      </c>
      <c r="K261" s="52">
        <v>559.85</v>
      </c>
      <c r="L261" s="52"/>
      <c r="M261" s="52"/>
      <c r="N261" s="52"/>
      <c r="O261" s="52"/>
      <c r="P261" s="52"/>
      <c r="Q261" s="52">
        <v>783</v>
      </c>
      <c r="R261" s="52"/>
      <c r="S261" s="52"/>
      <c r="T261" s="52"/>
      <c r="U261" s="52"/>
      <c r="V261" s="53">
        <f>432.77+879</f>
        <v>1311.77</v>
      </c>
      <c r="W261" s="52"/>
      <c r="X261" s="52">
        <v>43661.06</v>
      </c>
      <c r="Y261" s="52"/>
    </row>
    <row r="262" spans="1:25" ht="15.75" customHeight="1" x14ac:dyDescent="0.25">
      <c r="A262" s="13" t="s">
        <v>119</v>
      </c>
      <c r="B262" s="33">
        <v>37602.480000000003</v>
      </c>
      <c r="C262" s="35">
        <f t="shared" si="3"/>
        <v>163006.18</v>
      </c>
      <c r="D262" s="35"/>
      <c r="E262" s="35"/>
      <c r="F262" s="35"/>
      <c r="G262" s="35">
        <v>9554.81</v>
      </c>
      <c r="H262" s="35"/>
      <c r="I262" s="35"/>
      <c r="J262" s="35">
        <f>2365.88+2509</f>
        <v>4874.88</v>
      </c>
      <c r="K262" s="35"/>
      <c r="L262" s="35">
        <f>8596.12+41895</f>
        <v>50491.12</v>
      </c>
      <c r="M262" s="35"/>
      <c r="N262" s="35"/>
      <c r="O262" s="35"/>
      <c r="P262" s="35"/>
      <c r="Q262" s="35"/>
      <c r="R262" s="35"/>
      <c r="S262" s="35"/>
      <c r="T262" s="35"/>
      <c r="U262" s="35"/>
      <c r="V262" s="36">
        <f>432.77+987</f>
        <v>1419.77</v>
      </c>
      <c r="W262" s="35"/>
      <c r="X262" s="35">
        <v>96665.600000000006</v>
      </c>
      <c r="Y262" s="35"/>
    </row>
    <row r="263" spans="1:25" ht="15.75" customHeight="1" x14ac:dyDescent="0.25">
      <c r="A263" s="13" t="s">
        <v>120</v>
      </c>
      <c r="B263" s="33">
        <v>103532.04</v>
      </c>
      <c r="C263" s="35">
        <f t="shared" si="3"/>
        <v>285611.2254</v>
      </c>
      <c r="D263" s="35">
        <v>17305.669999999998</v>
      </c>
      <c r="E263" s="35"/>
      <c r="F263" s="35"/>
      <c r="G263" s="35">
        <f>9554.81+1230.82+737</f>
        <v>11522.63</v>
      </c>
      <c r="H263" s="35">
        <v>138503</v>
      </c>
      <c r="I263" s="35"/>
      <c r="J263" s="35">
        <f>4000.18+1002</f>
        <v>5002.18</v>
      </c>
      <c r="K263" s="35"/>
      <c r="L263" s="35">
        <v>6834.32</v>
      </c>
      <c r="M263" s="35"/>
      <c r="N263" s="35">
        <f>1531.6754+1849</f>
        <v>3380.6754000000001</v>
      </c>
      <c r="O263" s="35"/>
      <c r="P263" s="35"/>
      <c r="Q263" s="35"/>
      <c r="R263" s="35"/>
      <c r="S263" s="35"/>
      <c r="T263" s="35"/>
      <c r="U263" s="35"/>
      <c r="V263" s="36">
        <f>432.77+987</f>
        <v>1419.77</v>
      </c>
      <c r="W263" s="35"/>
      <c r="X263" s="35">
        <v>101642.98</v>
      </c>
      <c r="Y263" s="35"/>
    </row>
    <row r="264" spans="1:25" s="7" customFormat="1" ht="15.75" customHeight="1" x14ac:dyDescent="0.25">
      <c r="A264" s="13" t="s">
        <v>121</v>
      </c>
      <c r="B264" s="33">
        <v>97158.720000000001</v>
      </c>
      <c r="C264" s="35">
        <f t="shared" si="3"/>
        <v>20101.48</v>
      </c>
      <c r="D264" s="35"/>
      <c r="E264" s="35"/>
      <c r="F264" s="35"/>
      <c r="G264" s="35"/>
      <c r="H264" s="35"/>
      <c r="I264" s="35"/>
      <c r="J264" s="35">
        <v>1893</v>
      </c>
      <c r="K264" s="35"/>
      <c r="L264" s="35"/>
      <c r="M264" s="35"/>
      <c r="N264" s="35">
        <v>1251.71</v>
      </c>
      <c r="O264" s="35">
        <v>13696</v>
      </c>
      <c r="P264" s="35"/>
      <c r="Q264" s="35"/>
      <c r="R264" s="35"/>
      <c r="S264" s="35"/>
      <c r="T264" s="35"/>
      <c r="U264" s="35">
        <v>2828</v>
      </c>
      <c r="V264" s="36">
        <v>432.77</v>
      </c>
      <c r="W264" s="35"/>
      <c r="X264" s="35"/>
      <c r="Y264" s="35"/>
    </row>
    <row r="265" spans="1:25" s="7" customFormat="1" ht="15.75" customHeight="1" x14ac:dyDescent="0.25">
      <c r="A265" s="12" t="s">
        <v>122</v>
      </c>
      <c r="B265" s="33">
        <v>134215.62</v>
      </c>
      <c r="C265" s="35">
        <f t="shared" si="3"/>
        <v>122475.35</v>
      </c>
      <c r="D265" s="35"/>
      <c r="E265" s="35"/>
      <c r="F265" s="35"/>
      <c r="G265" s="35">
        <v>627.67999999999995</v>
      </c>
      <c r="H265" s="35"/>
      <c r="I265" s="35"/>
      <c r="J265" s="35"/>
      <c r="K265" s="35">
        <v>6875.42</v>
      </c>
      <c r="L265" s="35">
        <v>9395</v>
      </c>
      <c r="M265" s="35"/>
      <c r="N265" s="35"/>
      <c r="O265" s="35"/>
      <c r="P265" s="35"/>
      <c r="Q265" s="35"/>
      <c r="R265" s="35"/>
      <c r="S265" s="35"/>
      <c r="T265" s="35">
        <v>878</v>
      </c>
      <c r="U265" s="35"/>
      <c r="V265" s="36"/>
      <c r="W265" s="35"/>
      <c r="X265" s="35">
        <v>104699.25</v>
      </c>
      <c r="Y265" s="35"/>
    </row>
    <row r="266" spans="1:25" ht="15.75" customHeight="1" x14ac:dyDescent="0.25">
      <c r="A266" s="12" t="s">
        <v>123</v>
      </c>
      <c r="B266" s="33">
        <v>112899.21</v>
      </c>
      <c r="C266" s="35">
        <f t="shared" si="3"/>
        <v>156265.16999999998</v>
      </c>
      <c r="D266" s="35"/>
      <c r="E266" s="35"/>
      <c r="F266" s="35">
        <v>84069</v>
      </c>
      <c r="G266" s="35">
        <v>627.67999999999995</v>
      </c>
      <c r="H266" s="35"/>
      <c r="I266" s="35"/>
      <c r="J266" s="35"/>
      <c r="K266" s="35"/>
      <c r="L266" s="35"/>
      <c r="M266" s="35"/>
      <c r="N266" s="35"/>
      <c r="O266" s="35"/>
      <c r="P266" s="35"/>
      <c r="Q266" s="35">
        <v>2584</v>
      </c>
      <c r="R266" s="35"/>
      <c r="S266" s="35"/>
      <c r="T266" s="35"/>
      <c r="U266" s="35"/>
      <c r="V266" s="36"/>
      <c r="W266" s="35"/>
      <c r="X266" s="35">
        <v>68984.490000000005</v>
      </c>
      <c r="Y266" s="35"/>
    </row>
    <row r="267" spans="1:25" s="7" customFormat="1" ht="15.75" customHeight="1" x14ac:dyDescent="0.25">
      <c r="A267" s="12" t="s">
        <v>124</v>
      </c>
      <c r="B267" s="33">
        <v>241316.31</v>
      </c>
      <c r="C267" s="35">
        <f t="shared" si="3"/>
        <v>166527.8774</v>
      </c>
      <c r="D267" s="35">
        <f>9242.8574+29513</f>
        <v>38755.857400000001</v>
      </c>
      <c r="E267" s="35"/>
      <c r="F267" s="35">
        <v>74641</v>
      </c>
      <c r="G267" s="35">
        <f>3908.38+11153.6</f>
        <v>15061.98</v>
      </c>
      <c r="H267" s="35"/>
      <c r="I267" s="35"/>
      <c r="J267" s="35">
        <f>5118+4098.86</f>
        <v>9216.86</v>
      </c>
      <c r="K267" s="35"/>
      <c r="L267" s="35"/>
      <c r="M267" s="35"/>
      <c r="N267" s="35"/>
      <c r="O267" s="35">
        <v>5465.14</v>
      </c>
      <c r="P267" s="35"/>
      <c r="Q267" s="35"/>
      <c r="R267" s="35"/>
      <c r="S267" s="35"/>
      <c r="T267" s="35">
        <v>3479.43</v>
      </c>
      <c r="U267" s="35">
        <v>12146.4</v>
      </c>
      <c r="V267" s="36">
        <v>7761.21</v>
      </c>
      <c r="W267" s="35"/>
      <c r="X267" s="35"/>
      <c r="Y267" s="35"/>
    </row>
    <row r="268" spans="1:25" ht="15.75" customHeight="1" x14ac:dyDescent="0.25">
      <c r="A268" s="12" t="s">
        <v>125</v>
      </c>
      <c r="B268" s="33">
        <v>65929.73</v>
      </c>
      <c r="C268" s="35">
        <f t="shared" si="3"/>
        <v>55236.850000000006</v>
      </c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>
        <v>2319.62</v>
      </c>
      <c r="R268" s="35"/>
      <c r="S268" s="35"/>
      <c r="T268" s="35"/>
      <c r="U268" s="35"/>
      <c r="V268" s="36"/>
      <c r="W268" s="35"/>
      <c r="X268" s="35">
        <v>52917.23</v>
      </c>
      <c r="Y268" s="35"/>
    </row>
    <row r="269" spans="1:25" s="7" customFormat="1" ht="15.75" customHeight="1" x14ac:dyDescent="0.25">
      <c r="A269" s="12" t="s">
        <v>126</v>
      </c>
      <c r="B269" s="33">
        <v>717181.03</v>
      </c>
      <c r="C269" s="35">
        <f t="shared" si="3"/>
        <v>428651.04099999997</v>
      </c>
      <c r="D269" s="35">
        <v>192539.01</v>
      </c>
      <c r="E269" s="35"/>
      <c r="F269" s="35"/>
      <c r="G269" s="35"/>
      <c r="H269" s="35"/>
      <c r="I269" s="35"/>
      <c r="J269" s="35">
        <f>2018+7164</f>
        <v>9182</v>
      </c>
      <c r="K269" s="35">
        <v>367.11</v>
      </c>
      <c r="L269" s="35"/>
      <c r="M269" s="35"/>
      <c r="N269" s="35"/>
      <c r="O269" s="35"/>
      <c r="P269" s="35"/>
      <c r="Q269" s="35">
        <v>5766.3180000000002</v>
      </c>
      <c r="R269" s="35"/>
      <c r="S269" s="35"/>
      <c r="T269" s="35">
        <f>573.763+5040</f>
        <v>5613.7629999999999</v>
      </c>
      <c r="U269" s="35">
        <f>1243.37+832.43+1009.03</f>
        <v>3084.83</v>
      </c>
      <c r="V269" s="36">
        <f>1298.28+987</f>
        <v>2285.2799999999997</v>
      </c>
      <c r="W269" s="35"/>
      <c r="X269" s="35">
        <v>152813.76000000001</v>
      </c>
      <c r="Y269" s="35">
        <v>56998.97</v>
      </c>
    </row>
    <row r="270" spans="1:25" s="7" customFormat="1" ht="15.75" customHeight="1" x14ac:dyDescent="0.25">
      <c r="A270" s="13" t="s">
        <v>127</v>
      </c>
      <c r="B270" s="33">
        <v>150789.12</v>
      </c>
      <c r="C270" s="35">
        <f t="shared" si="3"/>
        <v>88426.13</v>
      </c>
      <c r="D270" s="35">
        <v>10990.331</v>
      </c>
      <c r="E270" s="35"/>
      <c r="F270" s="35"/>
      <c r="G270" s="35"/>
      <c r="H270" s="35"/>
      <c r="I270" s="35"/>
      <c r="J270" s="35">
        <v>7092.68</v>
      </c>
      <c r="K270" s="35">
        <v>376.47899999999998</v>
      </c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6">
        <v>3776.45</v>
      </c>
      <c r="W270" s="35"/>
      <c r="X270" s="35">
        <v>66190.19</v>
      </c>
      <c r="Y270" s="35"/>
    </row>
    <row r="271" spans="1:25" ht="15.75" customHeight="1" x14ac:dyDescent="0.25">
      <c r="A271" s="13" t="s">
        <v>128</v>
      </c>
      <c r="B271" s="33">
        <v>86716.56</v>
      </c>
      <c r="C271" s="35">
        <f>D271+E271+G271+H271+I271+J271+K271+L271+N271+O271+P271+Q271+R271+S271+T271+U271+V271+W271+X271+Y271+F271</f>
        <v>84090.06</v>
      </c>
      <c r="D271" s="35"/>
      <c r="E271" s="35"/>
      <c r="F271" s="35"/>
      <c r="G271" s="35"/>
      <c r="H271" s="35"/>
      <c r="I271" s="35"/>
      <c r="J271" s="35">
        <f>224.64+4341.68+5344.02</f>
        <v>9910.34</v>
      </c>
      <c r="K271" s="35"/>
      <c r="L271" s="35"/>
      <c r="M271" s="35"/>
      <c r="N271" s="35"/>
      <c r="O271" s="35">
        <v>5781.43</v>
      </c>
      <c r="P271" s="35"/>
      <c r="Q271" s="35"/>
      <c r="R271" s="35"/>
      <c r="S271" s="35"/>
      <c r="T271" s="35"/>
      <c r="U271" s="35"/>
      <c r="V271" s="36">
        <f>432.77+1950</f>
        <v>2382.77</v>
      </c>
      <c r="W271" s="35"/>
      <c r="X271" s="35">
        <v>66015.520000000004</v>
      </c>
      <c r="Y271" s="35"/>
    </row>
    <row r="272" spans="1:25" ht="15.75" customHeight="1" x14ac:dyDescent="0.25">
      <c r="A272" s="13" t="s">
        <v>129</v>
      </c>
      <c r="B272" s="33">
        <v>143256.95999999999</v>
      </c>
      <c r="C272" s="35">
        <f>D272+E272+G272+H272+I272+J272+K272+L272+N272+O272+P272+Q272+R272+S272+T272+U272+V272+W272+X272+Y272+F272</f>
        <v>125254.75</v>
      </c>
      <c r="D272" s="35"/>
      <c r="E272" s="35"/>
      <c r="F272" s="35"/>
      <c r="G272" s="35"/>
      <c r="H272" s="35"/>
      <c r="I272" s="35"/>
      <c r="J272" s="35">
        <v>1172</v>
      </c>
      <c r="K272" s="35">
        <v>367</v>
      </c>
      <c r="L272" s="35">
        <v>3054.66</v>
      </c>
      <c r="M272" s="35"/>
      <c r="N272" s="35"/>
      <c r="O272" s="35">
        <v>9815.34</v>
      </c>
      <c r="P272" s="35"/>
      <c r="Q272" s="35">
        <v>9015</v>
      </c>
      <c r="R272" s="35"/>
      <c r="S272" s="35">
        <v>4033.8</v>
      </c>
      <c r="T272" s="35"/>
      <c r="U272" s="35"/>
      <c r="V272" s="36">
        <v>432.77</v>
      </c>
      <c r="W272" s="35"/>
      <c r="X272" s="35">
        <v>97364.18</v>
      </c>
      <c r="Y272" s="35"/>
    </row>
    <row r="273" spans="1:25" s="7" customFormat="1" ht="15.75" customHeight="1" x14ac:dyDescent="0.25">
      <c r="A273" s="13" t="s">
        <v>130</v>
      </c>
      <c r="B273" s="33">
        <v>123087.36</v>
      </c>
      <c r="C273" s="35">
        <f>D273+E273+G273+H273+I273+J273+K273+L273+N273+O273+P273+Q273+R273+S273+T273+U273+V273+W273+X273+Y273+F273</f>
        <v>18528.239999999998</v>
      </c>
      <c r="D273" s="35"/>
      <c r="E273" s="35"/>
      <c r="F273" s="35"/>
      <c r="G273" s="35"/>
      <c r="H273" s="35"/>
      <c r="I273" s="35"/>
      <c r="J273" s="35">
        <v>565</v>
      </c>
      <c r="K273" s="35">
        <f>752.95+376.48+367+7438</f>
        <v>8934.43</v>
      </c>
      <c r="L273" s="35"/>
      <c r="M273" s="35"/>
      <c r="N273" s="35"/>
      <c r="O273" s="35"/>
      <c r="P273" s="35"/>
      <c r="Q273" s="35"/>
      <c r="R273" s="35"/>
      <c r="S273" s="35"/>
      <c r="T273" s="35">
        <v>9028.81</v>
      </c>
      <c r="U273" s="35"/>
      <c r="V273" s="36"/>
      <c r="W273" s="35"/>
      <c r="X273" s="35"/>
      <c r="Y273" s="35"/>
    </row>
    <row r="274" spans="1:25" s="7" customFormat="1" ht="15.75" customHeight="1" x14ac:dyDescent="0.25">
      <c r="A274" s="13" t="s">
        <v>131</v>
      </c>
      <c r="B274" s="33">
        <v>443137.08</v>
      </c>
      <c r="C274" s="35">
        <f>D274+E274+G274+H274+I274+J274+K274+L274+N274+O274+P274+Q274+R274+S274+T274+U274+V274+W274+X274+Y274+F274</f>
        <v>96752.83</v>
      </c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>
        <f>28925.72+315.11+1530+6106+1986+1625</f>
        <v>40487.83</v>
      </c>
      <c r="R274" s="35"/>
      <c r="S274" s="35">
        <f>55320+630+315</f>
        <v>56265</v>
      </c>
      <c r="T274" s="35"/>
      <c r="U274" s="35"/>
      <c r="V274" s="36"/>
      <c r="W274" s="35"/>
      <c r="X274" s="35"/>
      <c r="Y274" s="35"/>
    </row>
    <row r="275" spans="1:25" s="7" customFormat="1" ht="15.75" customHeight="1" x14ac:dyDescent="0.25">
      <c r="A275" s="13" t="s">
        <v>132</v>
      </c>
      <c r="B275" s="33">
        <v>92859.24</v>
      </c>
      <c r="C275" s="35">
        <f>D275+E275+F275+G275+H275+I275+J275+K275+L275+M275+N275+O275+P275+Q275+R275+S275+T275+U275+V275+W275+X275+Y275</f>
        <v>66584.160000000003</v>
      </c>
      <c r="D275" s="35"/>
      <c r="E275" s="35"/>
      <c r="F275" s="35"/>
      <c r="G275" s="35">
        <v>6638.08</v>
      </c>
      <c r="H275" s="35"/>
      <c r="I275" s="35"/>
      <c r="J275" s="35"/>
      <c r="K275" s="35">
        <v>367</v>
      </c>
      <c r="L275" s="35"/>
      <c r="M275" s="35">
        <f>5694.76</f>
        <v>5694.76</v>
      </c>
      <c r="N275" s="35"/>
      <c r="O275" s="35"/>
      <c r="P275" s="35"/>
      <c r="Q275" s="35">
        <f>1691.51+887.9+7854</f>
        <v>10433.41</v>
      </c>
      <c r="R275" s="35"/>
      <c r="S275" s="35">
        <v>1187</v>
      </c>
      <c r="T275" s="35"/>
      <c r="U275" s="35"/>
      <c r="V275" s="36"/>
      <c r="W275" s="35"/>
      <c r="X275" s="35">
        <v>42263.91</v>
      </c>
      <c r="Y275" s="35"/>
    </row>
    <row r="276" spans="1:25" ht="15.75" customHeight="1" x14ac:dyDescent="0.25">
      <c r="A276" s="13" t="s">
        <v>133</v>
      </c>
      <c r="B276" s="33">
        <v>221659.32</v>
      </c>
      <c r="C276" s="35">
        <f t="shared" ref="C276:C294" si="4">D276+E276+G276+H276+I276+J276+K276+L276+N276+O276+P276+Q276+R276+S276+T276+U276+V276+W276+X276+Y276+F276</f>
        <v>155778.53080000001</v>
      </c>
      <c r="D276" s="35">
        <f>31330.97+2054</f>
        <v>33384.97</v>
      </c>
      <c r="E276" s="35"/>
      <c r="F276" s="35"/>
      <c r="G276" s="35"/>
      <c r="H276" s="35"/>
      <c r="I276" s="35"/>
      <c r="J276" s="35"/>
      <c r="K276" s="35">
        <f>2169.42+302+255.5408</f>
        <v>2726.9607999999998</v>
      </c>
      <c r="L276" s="35">
        <v>10761.6</v>
      </c>
      <c r="M276" s="35">
        <v>2169.4299999999998</v>
      </c>
      <c r="N276" s="35">
        <v>1956</v>
      </c>
      <c r="O276" s="35"/>
      <c r="P276" s="35"/>
      <c r="Q276" s="35"/>
      <c r="R276" s="35"/>
      <c r="S276" s="35"/>
      <c r="T276" s="35"/>
      <c r="U276" s="35">
        <v>187</v>
      </c>
      <c r="V276" s="36"/>
      <c r="W276" s="35"/>
      <c r="X276" s="35">
        <v>106762</v>
      </c>
      <c r="Y276" s="35"/>
    </row>
    <row r="277" spans="1:25" s="7" customFormat="1" ht="15.75" customHeight="1" x14ac:dyDescent="0.25">
      <c r="A277" s="13" t="s">
        <v>134</v>
      </c>
      <c r="B277" s="33">
        <v>81123.12</v>
      </c>
      <c r="C277" s="35">
        <f t="shared" si="4"/>
        <v>144032.29</v>
      </c>
      <c r="D277" s="35"/>
      <c r="E277" s="35"/>
      <c r="F277" s="35"/>
      <c r="G277" s="35">
        <v>986.6</v>
      </c>
      <c r="H277" s="35"/>
      <c r="I277" s="35"/>
      <c r="J277" s="35"/>
      <c r="K277" s="35">
        <v>302</v>
      </c>
      <c r="L277" s="35">
        <f>2823+139487.92</f>
        <v>142310.92000000001</v>
      </c>
      <c r="M277" s="35"/>
      <c r="N277" s="35"/>
      <c r="O277" s="35"/>
      <c r="P277" s="35"/>
      <c r="Q277" s="35"/>
      <c r="R277" s="35"/>
      <c r="S277" s="35"/>
      <c r="T277" s="35"/>
      <c r="U277" s="35"/>
      <c r="V277" s="36">
        <v>432.77</v>
      </c>
      <c r="W277" s="35"/>
      <c r="X277" s="35"/>
      <c r="Y277" s="35"/>
    </row>
    <row r="278" spans="1:25" s="7" customFormat="1" ht="15.75" customHeight="1" x14ac:dyDescent="0.25">
      <c r="A278" s="13" t="s">
        <v>135</v>
      </c>
      <c r="B278" s="33">
        <v>197613.72</v>
      </c>
      <c r="C278" s="35">
        <f t="shared" si="4"/>
        <v>177169.49599999998</v>
      </c>
      <c r="D278" s="35"/>
      <c r="E278" s="35"/>
      <c r="F278" s="35"/>
      <c r="G278" s="35"/>
      <c r="H278" s="35">
        <v>59325</v>
      </c>
      <c r="I278" s="35"/>
      <c r="J278" s="35"/>
      <c r="K278" s="35">
        <v>376.48</v>
      </c>
      <c r="L278" s="35">
        <v>2333.91</v>
      </c>
      <c r="M278" s="35"/>
      <c r="N278" s="35">
        <f>5490.95+1869.976</f>
        <v>7360.9259999999995</v>
      </c>
      <c r="O278" s="35">
        <v>5780.91</v>
      </c>
      <c r="P278" s="35"/>
      <c r="Q278" s="35"/>
      <c r="R278" s="35"/>
      <c r="S278" s="35"/>
      <c r="T278" s="35"/>
      <c r="U278" s="35"/>
      <c r="V278" s="36"/>
      <c r="W278" s="35"/>
      <c r="X278" s="35">
        <v>101992.27</v>
      </c>
      <c r="Y278" s="35"/>
    </row>
    <row r="279" spans="1:25" s="7" customFormat="1" ht="15.75" customHeight="1" x14ac:dyDescent="0.25">
      <c r="A279" s="13" t="s">
        <v>136</v>
      </c>
      <c r="B279" s="33">
        <v>184702.44</v>
      </c>
      <c r="C279" s="35">
        <f t="shared" si="4"/>
        <v>52839.688000000002</v>
      </c>
      <c r="D279" s="35"/>
      <c r="E279" s="35"/>
      <c r="F279" s="35"/>
      <c r="G279" s="35"/>
      <c r="H279" s="35"/>
      <c r="I279" s="35"/>
      <c r="J279" s="35">
        <v>2333</v>
      </c>
      <c r="K279" s="35">
        <v>1222.9000000000001</v>
      </c>
      <c r="L279" s="35"/>
      <c r="M279" s="35"/>
      <c r="N279" s="35">
        <v>933.1</v>
      </c>
      <c r="O279" s="35"/>
      <c r="P279" s="35"/>
      <c r="Q279" s="35">
        <f>5167.078+1502.52</f>
        <v>6669.598</v>
      </c>
      <c r="R279" s="35">
        <v>4354.2</v>
      </c>
      <c r="S279" s="35">
        <v>2031.15</v>
      </c>
      <c r="T279" s="35">
        <f>11359.2+210</f>
        <v>11569.2</v>
      </c>
      <c r="U279" s="35">
        <v>17240.080000000002</v>
      </c>
      <c r="V279" s="36">
        <v>6486.46</v>
      </c>
      <c r="W279" s="35"/>
      <c r="X279" s="35"/>
      <c r="Y279" s="35"/>
    </row>
    <row r="280" spans="1:25" s="7" customFormat="1" ht="15.75" customHeight="1" x14ac:dyDescent="0.25">
      <c r="A280" s="13" t="s">
        <v>137</v>
      </c>
      <c r="B280" s="33">
        <v>121278.6</v>
      </c>
      <c r="C280" s="35">
        <f t="shared" si="4"/>
        <v>71746.179999999993</v>
      </c>
      <c r="D280" s="35"/>
      <c r="E280" s="35"/>
      <c r="F280" s="35"/>
      <c r="G280" s="35"/>
      <c r="H280" s="35"/>
      <c r="I280" s="35"/>
      <c r="J280" s="35"/>
      <c r="K280" s="35">
        <f>376.48+376.48</f>
        <v>752.96</v>
      </c>
      <c r="L280" s="35">
        <v>6898.76</v>
      </c>
      <c r="M280" s="35"/>
      <c r="N280" s="35"/>
      <c r="O280" s="35"/>
      <c r="P280" s="35"/>
      <c r="Q280" s="35"/>
      <c r="R280" s="35"/>
      <c r="S280" s="35"/>
      <c r="T280" s="35"/>
      <c r="U280" s="35"/>
      <c r="V280" s="36"/>
      <c r="W280" s="35"/>
      <c r="X280" s="35">
        <v>64094.46</v>
      </c>
      <c r="Y280" s="35"/>
    </row>
    <row r="281" spans="1:25" s="7" customFormat="1" ht="15.75" customHeight="1" x14ac:dyDescent="0.25">
      <c r="A281" s="12" t="s">
        <v>2</v>
      </c>
      <c r="B281" s="33">
        <v>323187.96000000002</v>
      </c>
      <c r="C281" s="35">
        <f t="shared" si="4"/>
        <v>83657.650000000009</v>
      </c>
      <c r="D281" s="35"/>
      <c r="E281" s="35"/>
      <c r="F281" s="35"/>
      <c r="G281" s="35"/>
      <c r="H281" s="35"/>
      <c r="I281" s="35"/>
      <c r="J281" s="35">
        <f>1047+349</f>
        <v>1396</v>
      </c>
      <c r="K281" s="35"/>
      <c r="L281" s="35"/>
      <c r="M281" s="35"/>
      <c r="N281" s="35">
        <v>782.41</v>
      </c>
      <c r="O281" s="35"/>
      <c r="P281" s="35"/>
      <c r="Q281" s="35"/>
      <c r="R281" s="35"/>
      <c r="S281" s="35"/>
      <c r="T281" s="35"/>
      <c r="U281" s="35">
        <v>561</v>
      </c>
      <c r="V281" s="36">
        <f>432.77+61.78</f>
        <v>494.54999999999995</v>
      </c>
      <c r="W281" s="35"/>
      <c r="X281" s="35">
        <v>80423.69</v>
      </c>
      <c r="Y281" s="35"/>
    </row>
    <row r="282" spans="1:25" ht="15.75" customHeight="1" x14ac:dyDescent="0.25">
      <c r="A282" s="13" t="s">
        <v>138</v>
      </c>
      <c r="B282" s="33">
        <v>80068.320000000007</v>
      </c>
      <c r="C282" s="35">
        <f t="shared" si="4"/>
        <v>74018.87999999999</v>
      </c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6">
        <f>432.77+1108.74</f>
        <v>1541.51</v>
      </c>
      <c r="W282" s="35"/>
      <c r="X282" s="35">
        <v>72477.37</v>
      </c>
      <c r="Y282" s="35"/>
    </row>
    <row r="283" spans="1:25" s="7" customFormat="1" ht="15.75" customHeight="1" x14ac:dyDescent="0.25">
      <c r="A283" s="13" t="s">
        <v>139</v>
      </c>
      <c r="B283" s="33">
        <v>378911.64</v>
      </c>
      <c r="C283" s="35">
        <f t="shared" si="4"/>
        <v>416138.56999999995</v>
      </c>
      <c r="D283" s="35"/>
      <c r="E283" s="35"/>
      <c r="F283" s="35"/>
      <c r="G283" s="35">
        <v>180386.95300000001</v>
      </c>
      <c r="H283" s="35"/>
      <c r="I283" s="35"/>
      <c r="J283" s="35">
        <f>3025.15+994</f>
        <v>4019.15</v>
      </c>
      <c r="K283" s="35">
        <f>376.48+376.479+376.479</f>
        <v>1129.4380000000001</v>
      </c>
      <c r="L283" s="35"/>
      <c r="M283" s="35"/>
      <c r="N283" s="35">
        <v>1204</v>
      </c>
      <c r="O283" s="35"/>
      <c r="P283" s="35"/>
      <c r="Q283" s="35">
        <f>38589.52+4142</f>
        <v>42731.519999999997</v>
      </c>
      <c r="R283" s="35"/>
      <c r="S283" s="35">
        <f>405.96+4070.4</f>
        <v>4476.3599999999997</v>
      </c>
      <c r="T283" s="35">
        <f>495.919+3763</f>
        <v>4258.9189999999999</v>
      </c>
      <c r="U283" s="35"/>
      <c r="V283" s="36">
        <f>432.77+1108.74</f>
        <v>1541.51</v>
      </c>
      <c r="W283" s="35"/>
      <c r="X283" s="35">
        <v>176390.72</v>
      </c>
      <c r="Y283" s="35"/>
    </row>
    <row r="284" spans="1:25" s="7" customFormat="1" ht="15.75" customHeight="1" x14ac:dyDescent="0.25">
      <c r="A284" s="13" t="s">
        <v>140</v>
      </c>
      <c r="B284" s="33">
        <v>129503.16</v>
      </c>
      <c r="C284" s="35">
        <f t="shared" si="4"/>
        <v>91084.002999999997</v>
      </c>
      <c r="D284" s="35"/>
      <c r="E284" s="35"/>
      <c r="F284" s="35"/>
      <c r="G284" s="35">
        <v>3800.39</v>
      </c>
      <c r="H284" s="35"/>
      <c r="I284" s="35"/>
      <c r="J284" s="35">
        <f>3942.75+2634</f>
        <v>6576.75</v>
      </c>
      <c r="K284" s="35">
        <v>3472.9</v>
      </c>
      <c r="L284" s="35"/>
      <c r="M284" s="35"/>
      <c r="N284" s="35"/>
      <c r="O284" s="35"/>
      <c r="P284" s="35"/>
      <c r="Q284" s="35">
        <f>6973.07+646.77</f>
        <v>7619.84</v>
      </c>
      <c r="R284" s="35">
        <v>10259.299999999999</v>
      </c>
      <c r="S284" s="35">
        <f>1052.83+4385.54</f>
        <v>5438.37</v>
      </c>
      <c r="T284" s="35">
        <f>496.107+495.919</f>
        <v>992.02600000000007</v>
      </c>
      <c r="U284" s="35">
        <v>244.43700000000001</v>
      </c>
      <c r="V284" s="36">
        <f>432.77+1108.74</f>
        <v>1541.51</v>
      </c>
      <c r="W284" s="35">
        <v>51138.48</v>
      </c>
      <c r="X284" s="35"/>
      <c r="Y284" s="35"/>
    </row>
    <row r="285" spans="1:25" ht="15.75" customHeight="1" x14ac:dyDescent="0.25">
      <c r="A285" s="13" t="s">
        <v>141</v>
      </c>
      <c r="B285" s="33">
        <v>157402.92000000001</v>
      </c>
      <c r="C285" s="35">
        <f t="shared" si="4"/>
        <v>130578.57</v>
      </c>
      <c r="D285" s="35"/>
      <c r="E285" s="35"/>
      <c r="F285" s="35"/>
      <c r="G285" s="35">
        <v>102391.71</v>
      </c>
      <c r="H285" s="35"/>
      <c r="I285" s="35"/>
      <c r="J285" s="35">
        <f>462.3+321+5314.2</f>
        <v>6097.5</v>
      </c>
      <c r="K285" s="35"/>
      <c r="L285" s="35"/>
      <c r="M285" s="35"/>
      <c r="N285" s="35"/>
      <c r="O285" s="35"/>
      <c r="P285" s="35"/>
      <c r="Q285" s="35">
        <f>646.77+2840.26+11682.8</f>
        <v>15169.83</v>
      </c>
      <c r="R285" s="35"/>
      <c r="S285" s="35">
        <f>4385.54+1018</f>
        <v>5403.54</v>
      </c>
      <c r="T285" s="35">
        <v>1083.22</v>
      </c>
      <c r="U285" s="35"/>
      <c r="V285" s="36">
        <v>432.77</v>
      </c>
      <c r="W285" s="35"/>
      <c r="X285" s="35"/>
      <c r="Y285" s="35"/>
    </row>
    <row r="286" spans="1:25" s="7" customFormat="1" ht="15.75" customHeight="1" x14ac:dyDescent="0.25">
      <c r="A286" s="13" t="s">
        <v>142</v>
      </c>
      <c r="B286" s="33">
        <v>92415.360000000001</v>
      </c>
      <c r="C286" s="35">
        <f t="shared" si="4"/>
        <v>51014.060000000005</v>
      </c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>
        <v>13297.7</v>
      </c>
      <c r="T286" s="35"/>
      <c r="U286" s="35">
        <f>11311.5+10096.4</f>
        <v>21407.9</v>
      </c>
      <c r="V286" s="36">
        <f>5543.72+10764.74</f>
        <v>16308.46</v>
      </c>
      <c r="W286" s="35"/>
      <c r="X286" s="35"/>
      <c r="Y286" s="35"/>
    </row>
    <row r="287" spans="1:25" s="7" customFormat="1" ht="15.75" customHeight="1" x14ac:dyDescent="0.25">
      <c r="A287" s="13" t="s">
        <v>143</v>
      </c>
      <c r="B287" s="33">
        <v>160154.51999999999</v>
      </c>
      <c r="C287" s="35">
        <f t="shared" si="4"/>
        <v>152897.13</v>
      </c>
      <c r="D287" s="35"/>
      <c r="E287" s="35"/>
      <c r="F287" s="35"/>
      <c r="G287" s="35">
        <v>40831</v>
      </c>
      <c r="H287" s="35">
        <v>85441</v>
      </c>
      <c r="I287" s="35"/>
      <c r="J287" s="35">
        <v>2332.52</v>
      </c>
      <c r="K287" s="35"/>
      <c r="L287" s="35">
        <v>1356</v>
      </c>
      <c r="M287" s="35"/>
      <c r="N287" s="35"/>
      <c r="O287" s="35"/>
      <c r="P287" s="35"/>
      <c r="Q287" s="35"/>
      <c r="R287" s="35"/>
      <c r="S287" s="35"/>
      <c r="T287" s="35">
        <v>17495</v>
      </c>
      <c r="U287" s="35">
        <f>442.62+1476.99+561</f>
        <v>2480.61</v>
      </c>
      <c r="V287" s="36">
        <v>2961</v>
      </c>
      <c r="W287" s="35"/>
      <c r="X287" s="35"/>
      <c r="Y287" s="35"/>
    </row>
    <row r="288" spans="1:25" s="7" customFormat="1" ht="15.75" customHeight="1" x14ac:dyDescent="0.25">
      <c r="A288" s="13" t="s">
        <v>144</v>
      </c>
      <c r="B288" s="33">
        <v>63841.68</v>
      </c>
      <c r="C288" s="35">
        <f t="shared" si="4"/>
        <v>167929.16699999999</v>
      </c>
      <c r="D288" s="35"/>
      <c r="E288" s="35"/>
      <c r="F288" s="35"/>
      <c r="G288" s="35"/>
      <c r="H288" s="35"/>
      <c r="I288" s="35"/>
      <c r="J288" s="35"/>
      <c r="K288" s="35">
        <f>376.48+367.11</f>
        <v>743.59</v>
      </c>
      <c r="L288" s="35"/>
      <c r="M288" s="35"/>
      <c r="N288" s="35">
        <f>442+1389.18</f>
        <v>1831.18</v>
      </c>
      <c r="O288" s="35"/>
      <c r="P288" s="35"/>
      <c r="Q288" s="35">
        <f>9838.557+4244</f>
        <v>14082.557000000001</v>
      </c>
      <c r="R288" s="35"/>
      <c r="S288" s="35">
        <f>3113.25+1894</f>
        <v>5007.25</v>
      </c>
      <c r="T288" s="35"/>
      <c r="U288" s="35"/>
      <c r="V288" s="36"/>
      <c r="W288" s="35"/>
      <c r="X288" s="35">
        <v>146264.59</v>
      </c>
      <c r="Y288" s="35"/>
    </row>
    <row r="289" spans="1:25" ht="15.75" customHeight="1" x14ac:dyDescent="0.25">
      <c r="A289" s="13" t="s">
        <v>145</v>
      </c>
      <c r="B289" s="33">
        <v>184020.72</v>
      </c>
      <c r="C289" s="35">
        <f t="shared" si="4"/>
        <v>6696.64</v>
      </c>
      <c r="D289" s="35">
        <v>4912.6400000000003</v>
      </c>
      <c r="E289" s="35"/>
      <c r="F289" s="35"/>
      <c r="G289" s="35"/>
      <c r="H289" s="35"/>
      <c r="I289" s="35"/>
      <c r="J289" s="35"/>
      <c r="K289" s="35"/>
      <c r="L289" s="35">
        <v>1784</v>
      </c>
      <c r="M289" s="35"/>
      <c r="N289" s="35"/>
      <c r="O289" s="35"/>
      <c r="P289" s="35"/>
      <c r="Q289" s="35"/>
      <c r="R289" s="35"/>
      <c r="S289" s="35"/>
      <c r="T289" s="35"/>
      <c r="U289" s="35"/>
      <c r="V289" s="36"/>
      <c r="W289" s="35"/>
      <c r="X289" s="35"/>
      <c r="Y289" s="35"/>
    </row>
    <row r="290" spans="1:25" ht="15.75" customHeight="1" x14ac:dyDescent="0.25">
      <c r="A290" s="13" t="s">
        <v>146</v>
      </c>
      <c r="B290" s="33">
        <v>187062.36</v>
      </c>
      <c r="C290" s="35">
        <f t="shared" si="4"/>
        <v>10201.77</v>
      </c>
      <c r="D290" s="35"/>
      <c r="E290" s="35"/>
      <c r="F290" s="35"/>
      <c r="G290" s="35"/>
      <c r="H290" s="35"/>
      <c r="I290" s="35"/>
      <c r="J290" s="35">
        <v>4708.7700000000004</v>
      </c>
      <c r="K290" s="35">
        <v>301</v>
      </c>
      <c r="L290" s="35"/>
      <c r="M290" s="35"/>
      <c r="N290" s="35"/>
      <c r="O290" s="35"/>
      <c r="P290" s="35"/>
      <c r="Q290" s="35"/>
      <c r="R290" s="35"/>
      <c r="S290" s="35"/>
      <c r="T290" s="35">
        <v>1297</v>
      </c>
      <c r="U290" s="35">
        <v>2908</v>
      </c>
      <c r="V290" s="36">
        <v>987</v>
      </c>
      <c r="W290" s="35"/>
      <c r="X290" s="35"/>
      <c r="Y290" s="35"/>
    </row>
    <row r="291" spans="1:25" ht="15.75" customHeight="1" x14ac:dyDescent="0.25">
      <c r="A291" s="13" t="s">
        <v>147</v>
      </c>
      <c r="B291" s="33">
        <v>197661.96</v>
      </c>
      <c r="C291" s="35">
        <f t="shared" si="4"/>
        <v>38238.43</v>
      </c>
      <c r="D291" s="35"/>
      <c r="E291" s="35"/>
      <c r="F291" s="35"/>
      <c r="G291" s="35"/>
      <c r="H291" s="35"/>
      <c r="I291" s="35"/>
      <c r="J291" s="35"/>
      <c r="K291" s="35">
        <v>367</v>
      </c>
      <c r="L291" s="35">
        <v>4667.8100000000004</v>
      </c>
      <c r="M291" s="35">
        <v>3201.15</v>
      </c>
      <c r="N291" s="35"/>
      <c r="O291" s="35"/>
      <c r="P291" s="35"/>
      <c r="Q291" s="35">
        <v>10324</v>
      </c>
      <c r="R291" s="35"/>
      <c r="S291" s="35"/>
      <c r="T291" s="35"/>
      <c r="U291" s="35">
        <f>3201+442.62+17262</f>
        <v>20905.62</v>
      </c>
      <c r="V291" s="36">
        <v>1974</v>
      </c>
      <c r="W291" s="35"/>
      <c r="X291" s="35"/>
      <c r="Y291" s="35"/>
    </row>
    <row r="292" spans="1:25" ht="15.75" customHeight="1" x14ac:dyDescent="0.25">
      <c r="A292" s="13" t="s">
        <v>148</v>
      </c>
      <c r="B292" s="33">
        <v>67026.59</v>
      </c>
      <c r="C292" s="35">
        <f t="shared" si="4"/>
        <v>0</v>
      </c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6"/>
      <c r="W292" s="35"/>
      <c r="X292" s="35"/>
      <c r="Y292" s="35"/>
    </row>
    <row r="293" spans="1:25" ht="15.75" customHeight="1" x14ac:dyDescent="0.25">
      <c r="A293" s="13" t="s">
        <v>3</v>
      </c>
      <c r="B293" s="33">
        <v>98259.05</v>
      </c>
      <c r="C293" s="35">
        <f t="shared" si="4"/>
        <v>146961</v>
      </c>
      <c r="D293" s="35"/>
      <c r="E293" s="35"/>
      <c r="F293" s="35">
        <v>137000</v>
      </c>
      <c r="G293" s="35"/>
      <c r="H293" s="35"/>
      <c r="I293" s="35"/>
      <c r="J293" s="35">
        <v>1575</v>
      </c>
      <c r="K293" s="35"/>
      <c r="L293" s="35"/>
      <c r="M293" s="35"/>
      <c r="N293" s="35"/>
      <c r="O293" s="35"/>
      <c r="P293" s="35"/>
      <c r="Q293" s="35">
        <v>5338</v>
      </c>
      <c r="R293" s="35"/>
      <c r="S293" s="35">
        <v>3048</v>
      </c>
      <c r="T293" s="35"/>
      <c r="U293" s="35"/>
      <c r="V293" s="36"/>
      <c r="W293" s="35"/>
      <c r="X293" s="35"/>
      <c r="Y293" s="35"/>
    </row>
    <row r="294" spans="1:25" ht="15.75" customHeight="1" x14ac:dyDescent="0.25">
      <c r="A294" s="13" t="s">
        <v>286</v>
      </c>
      <c r="B294" s="33">
        <v>180480.86</v>
      </c>
      <c r="C294" s="35">
        <f t="shared" si="4"/>
        <v>4382.78</v>
      </c>
      <c r="D294" s="35"/>
      <c r="E294" s="35"/>
      <c r="F294" s="35"/>
      <c r="G294" s="35"/>
      <c r="H294" s="35"/>
      <c r="I294" s="35"/>
      <c r="J294" s="35">
        <v>3496</v>
      </c>
      <c r="K294" s="35"/>
      <c r="L294" s="35"/>
      <c r="M294" s="35"/>
      <c r="N294" s="35"/>
      <c r="O294" s="35"/>
      <c r="P294" s="35"/>
      <c r="Q294" s="35"/>
      <c r="R294" s="35"/>
      <c r="S294" s="35"/>
      <c r="T294" s="35">
        <v>327</v>
      </c>
      <c r="U294" s="35">
        <v>559.78</v>
      </c>
      <c r="V294" s="36"/>
      <c r="W294" s="35"/>
      <c r="X294" s="35"/>
      <c r="Y294" s="35"/>
    </row>
    <row r="295" spans="1:25" s="7" customFormat="1" ht="15.75" customHeight="1" x14ac:dyDescent="0.25">
      <c r="A295" s="12" t="s">
        <v>290</v>
      </c>
      <c r="B295" s="33">
        <v>411580.68</v>
      </c>
      <c r="C295" s="35">
        <f>D295+E295+F295+G295+H295+I295+J295+K295+L295+M295+N295+O295+P295+Q295+R295+S295+T295+U295+V295+W295+X295+Y295</f>
        <v>346897.52</v>
      </c>
      <c r="D295" s="35">
        <v>50036.91</v>
      </c>
      <c r="E295" s="35"/>
      <c r="G295" s="35">
        <f>10261+63619.6</f>
        <v>73880.600000000006</v>
      </c>
      <c r="H295" s="35"/>
      <c r="I295" s="35"/>
      <c r="J295" s="35">
        <f>2823.7+1651.82</f>
        <v>4475.5199999999995</v>
      </c>
      <c r="K295" s="35"/>
      <c r="L295" s="35">
        <v>4992</v>
      </c>
      <c r="M295" s="35">
        <v>29829.7</v>
      </c>
      <c r="N295" s="35"/>
      <c r="O295" s="35">
        <v>5780.91</v>
      </c>
      <c r="P295" s="35"/>
      <c r="Q295" s="35"/>
      <c r="R295" s="35"/>
      <c r="S295" s="35">
        <f>35587.53+1285.78</f>
        <v>36873.31</v>
      </c>
      <c r="T295" s="35">
        <f>1035.34+23572.23+58</f>
        <v>24665.57</v>
      </c>
      <c r="U295" s="35">
        <f>115241+1122</f>
        <v>116363</v>
      </c>
      <c r="V295" s="36"/>
      <c r="W295" s="35"/>
      <c r="X295" s="35"/>
      <c r="Y295" s="35"/>
    </row>
    <row r="296" spans="1:25" ht="15.75" customHeight="1" x14ac:dyDescent="0.25">
      <c r="A296" s="12" t="s">
        <v>289</v>
      </c>
      <c r="B296" s="33">
        <v>607288.80000000005</v>
      </c>
      <c r="C296" s="35">
        <f t="shared" ref="C296:C334" si="5">D296+E296+G296+H296+I296+J296+K296+L296+N296+O296+P296+Q296+R296+S296+T296+U296+V296+W296+X296+Y296+F296</f>
        <v>93567.98</v>
      </c>
      <c r="D296" s="35">
        <v>4420</v>
      </c>
      <c r="E296" s="35">
        <v>70000</v>
      </c>
      <c r="F296" s="35"/>
      <c r="G296" s="35"/>
      <c r="H296" s="35"/>
      <c r="I296" s="35"/>
      <c r="J296" s="35">
        <v>2680.98</v>
      </c>
      <c r="K296" s="35"/>
      <c r="L296" s="35">
        <v>3158</v>
      </c>
      <c r="M296" s="35"/>
      <c r="N296" s="35"/>
      <c r="O296" s="35"/>
      <c r="P296" s="35"/>
      <c r="Q296" s="35">
        <v>1403</v>
      </c>
      <c r="R296" s="35"/>
      <c r="S296" s="35"/>
      <c r="T296" s="35">
        <v>11345</v>
      </c>
      <c r="U296" s="35">
        <v>561</v>
      </c>
      <c r="V296" s="36"/>
      <c r="W296" s="35"/>
      <c r="X296" s="35"/>
      <c r="Y296" s="35"/>
    </row>
    <row r="297" spans="1:25" s="7" customFormat="1" ht="15.75" customHeight="1" x14ac:dyDescent="0.25">
      <c r="A297" s="12" t="s">
        <v>288</v>
      </c>
      <c r="B297" s="33">
        <v>112730.26</v>
      </c>
      <c r="C297" s="35">
        <f t="shared" si="5"/>
        <v>3805.9</v>
      </c>
      <c r="D297" s="35"/>
      <c r="E297" s="35"/>
      <c r="F297" s="35"/>
      <c r="G297" s="35"/>
      <c r="H297" s="35"/>
      <c r="I297" s="35"/>
      <c r="J297" s="35">
        <f>1197.94+356</f>
        <v>1553.94</v>
      </c>
      <c r="K297" s="35">
        <f>376.48+376.48+678</f>
        <v>1430.96</v>
      </c>
      <c r="L297" s="35">
        <v>821</v>
      </c>
      <c r="M297" s="35"/>
      <c r="N297" s="35"/>
      <c r="O297" s="35"/>
      <c r="P297" s="35"/>
      <c r="Q297" s="35"/>
      <c r="R297" s="35"/>
      <c r="S297" s="35"/>
      <c r="T297" s="35"/>
      <c r="U297" s="35"/>
      <c r="V297" s="36"/>
      <c r="W297" s="35"/>
      <c r="X297" s="35"/>
      <c r="Y297" s="35"/>
    </row>
    <row r="298" spans="1:25" ht="15.75" customHeight="1" x14ac:dyDescent="0.25">
      <c r="A298" s="12" t="s">
        <v>287</v>
      </c>
      <c r="B298" s="33">
        <v>146580.84</v>
      </c>
      <c r="C298" s="35">
        <f t="shared" si="5"/>
        <v>8312.4</v>
      </c>
      <c r="D298" s="35"/>
      <c r="E298" s="35"/>
      <c r="F298" s="35"/>
      <c r="G298" s="35"/>
      <c r="H298" s="35"/>
      <c r="I298" s="35"/>
      <c r="J298" s="35">
        <f>1197.78+1575+512+1197.94</f>
        <v>4482.7199999999993</v>
      </c>
      <c r="K298" s="35"/>
      <c r="L298" s="35"/>
      <c r="M298" s="35"/>
      <c r="N298" s="35"/>
      <c r="O298" s="35">
        <v>2721.66</v>
      </c>
      <c r="P298" s="35"/>
      <c r="Q298" s="35">
        <v>1108.02</v>
      </c>
      <c r="R298" s="35"/>
      <c r="S298" s="35"/>
      <c r="T298" s="35"/>
      <c r="U298" s="35"/>
      <c r="V298" s="36"/>
      <c r="W298" s="35"/>
      <c r="X298" s="35"/>
      <c r="Y298" s="35"/>
    </row>
    <row r="299" spans="1:25" s="7" customFormat="1" ht="15.75" customHeight="1" x14ac:dyDescent="0.25">
      <c r="A299" s="12" t="s">
        <v>150</v>
      </c>
      <c r="B299" s="33">
        <v>88156.27</v>
      </c>
      <c r="C299" s="35">
        <f t="shared" si="5"/>
        <v>179847.1</v>
      </c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>
        <f>5781.43+5118</f>
        <v>10899.43</v>
      </c>
      <c r="P299" s="35"/>
      <c r="Q299" s="35">
        <v>4505.88</v>
      </c>
      <c r="R299" s="35"/>
      <c r="S299" s="35">
        <v>2022.6</v>
      </c>
      <c r="T299" s="35"/>
      <c r="U299" s="35"/>
      <c r="V299" s="36"/>
      <c r="W299" s="35"/>
      <c r="X299" s="35">
        <v>162419.19</v>
      </c>
      <c r="Y299" s="35"/>
    </row>
    <row r="300" spans="1:25" ht="15.75" customHeight="1" x14ac:dyDescent="0.25">
      <c r="A300" s="12" t="s">
        <v>151</v>
      </c>
      <c r="B300" s="33">
        <v>168131.72</v>
      </c>
      <c r="C300" s="35">
        <f t="shared" si="5"/>
        <v>121340.14300000001</v>
      </c>
      <c r="D300" s="35"/>
      <c r="E300" s="35"/>
      <c r="F300" s="35"/>
      <c r="G300" s="35">
        <f>31408.2+328.87+1884.51</f>
        <v>33621.58</v>
      </c>
      <c r="H300" s="35"/>
      <c r="I300" s="35"/>
      <c r="J300" s="35">
        <v>2137.5</v>
      </c>
      <c r="K300" s="35"/>
      <c r="L300" s="35"/>
      <c r="M300" s="35"/>
      <c r="N300" s="35"/>
      <c r="O300" s="35">
        <v>3812.9929999999999</v>
      </c>
      <c r="P300" s="35"/>
      <c r="Q300" s="35"/>
      <c r="R300" s="35"/>
      <c r="S300" s="35">
        <f>474.63+1253</f>
        <v>1727.63</v>
      </c>
      <c r="T300" s="35">
        <v>228</v>
      </c>
      <c r="U300" s="35"/>
      <c r="V300" s="36"/>
      <c r="W300" s="35"/>
      <c r="X300" s="35">
        <v>79812.44</v>
      </c>
      <c r="Y300" s="35"/>
    </row>
    <row r="301" spans="1:25" s="56" customFormat="1" ht="15.75" customHeight="1" x14ac:dyDescent="0.25">
      <c r="A301" s="12" t="s">
        <v>152</v>
      </c>
      <c r="B301" s="33">
        <v>113641.74</v>
      </c>
      <c r="C301" s="35">
        <f t="shared" si="5"/>
        <v>17553.760000000002</v>
      </c>
      <c r="D301" s="35"/>
      <c r="E301" s="35"/>
      <c r="F301" s="35"/>
      <c r="G301" s="35">
        <f>6909.87+7677.69</f>
        <v>14587.56</v>
      </c>
      <c r="H301" s="35"/>
      <c r="I301" s="35"/>
      <c r="J301" s="35">
        <v>1024.25</v>
      </c>
      <c r="K301" s="35">
        <v>752.95</v>
      </c>
      <c r="L301" s="35">
        <v>1189</v>
      </c>
      <c r="M301" s="35"/>
      <c r="N301" s="35"/>
      <c r="O301" s="35"/>
      <c r="P301" s="35"/>
      <c r="Q301" s="35"/>
      <c r="R301" s="35"/>
      <c r="S301" s="35"/>
      <c r="T301" s="35"/>
      <c r="U301" s="35"/>
      <c r="V301" s="36"/>
      <c r="W301" s="35"/>
      <c r="X301" s="35"/>
      <c r="Y301" s="35"/>
    </row>
    <row r="302" spans="1:25" s="7" customFormat="1" ht="15.75" customHeight="1" x14ac:dyDescent="0.25">
      <c r="A302" s="12" t="s">
        <v>153</v>
      </c>
      <c r="B302" s="33">
        <v>108137.8</v>
      </c>
      <c r="C302" s="35">
        <f t="shared" si="5"/>
        <v>95839.17</v>
      </c>
      <c r="D302" s="35"/>
      <c r="E302" s="35"/>
      <c r="F302" s="35"/>
      <c r="G302" s="35">
        <v>4397.1899999999996</v>
      </c>
      <c r="H302" s="35"/>
      <c r="I302" s="35"/>
      <c r="J302" s="35"/>
      <c r="K302" s="35"/>
      <c r="L302" s="35">
        <v>1784</v>
      </c>
      <c r="M302" s="35"/>
      <c r="N302" s="35"/>
      <c r="O302" s="35"/>
      <c r="P302" s="35"/>
      <c r="Q302" s="35"/>
      <c r="R302" s="35"/>
      <c r="S302" s="35"/>
      <c r="T302" s="35">
        <v>11457</v>
      </c>
      <c r="U302" s="35">
        <v>8885.6200000000008</v>
      </c>
      <c r="V302" s="36">
        <v>4434.9799999999996</v>
      </c>
      <c r="W302" s="35"/>
      <c r="X302" s="35">
        <v>64880.38</v>
      </c>
      <c r="Y302" s="35"/>
    </row>
    <row r="303" spans="1:25" s="7" customFormat="1" ht="15.75" customHeight="1" x14ac:dyDescent="0.25">
      <c r="A303" s="12" t="s">
        <v>154</v>
      </c>
      <c r="B303" s="33">
        <v>173051.64</v>
      </c>
      <c r="C303" s="35">
        <f t="shared" si="5"/>
        <v>40271.68</v>
      </c>
      <c r="D303" s="35"/>
      <c r="E303" s="35"/>
      <c r="F303" s="35"/>
      <c r="G303" s="35">
        <v>15704.25</v>
      </c>
      <c r="H303" s="35"/>
      <c r="I303" s="35"/>
      <c r="J303" s="35">
        <v>2217</v>
      </c>
      <c r="K303" s="35"/>
      <c r="L303" s="35">
        <f>9303.73+5996</f>
        <v>15299.73</v>
      </c>
      <c r="M303" s="35"/>
      <c r="N303" s="35"/>
      <c r="O303" s="35">
        <v>251.33</v>
      </c>
      <c r="P303" s="35"/>
      <c r="Q303" s="35">
        <v>2899</v>
      </c>
      <c r="R303" s="35"/>
      <c r="S303" s="35">
        <v>2437.37</v>
      </c>
      <c r="T303" s="35">
        <v>1463</v>
      </c>
      <c r="U303" s="35"/>
      <c r="V303" s="36"/>
      <c r="W303" s="35"/>
      <c r="X303" s="35"/>
      <c r="Y303" s="35"/>
    </row>
    <row r="304" spans="1:25" s="7" customFormat="1" ht="15.75" customHeight="1" x14ac:dyDescent="0.25">
      <c r="A304" s="12" t="s">
        <v>155</v>
      </c>
      <c r="B304" s="33">
        <v>173300.58</v>
      </c>
      <c r="C304" s="35">
        <f t="shared" si="5"/>
        <v>222821.52000000002</v>
      </c>
      <c r="D304" s="35"/>
      <c r="E304" s="35"/>
      <c r="F304" s="35"/>
      <c r="G304" s="35">
        <f>50881.77+34549.35</f>
        <v>85431.12</v>
      </c>
      <c r="H304" s="35"/>
      <c r="I304" s="35"/>
      <c r="J304" s="35">
        <v>39479.199999999997</v>
      </c>
      <c r="K304" s="35"/>
      <c r="L304" s="35"/>
      <c r="M304" s="35"/>
      <c r="N304" s="35"/>
      <c r="O304" s="35">
        <v>8081</v>
      </c>
      <c r="P304" s="35"/>
      <c r="Q304" s="35"/>
      <c r="R304" s="35"/>
      <c r="S304" s="35"/>
      <c r="T304" s="35"/>
      <c r="U304" s="35">
        <v>1372.85</v>
      </c>
      <c r="V304" s="36"/>
      <c r="W304" s="35"/>
      <c r="X304" s="35">
        <v>88457.35</v>
      </c>
      <c r="Y304" s="35"/>
    </row>
    <row r="305" spans="1:25" s="7" customFormat="1" ht="15.75" customHeight="1" x14ac:dyDescent="0.25">
      <c r="A305" s="12" t="s">
        <v>156</v>
      </c>
      <c r="B305" s="33">
        <v>46421.17</v>
      </c>
      <c r="C305" s="35">
        <f t="shared" si="5"/>
        <v>62154.28</v>
      </c>
      <c r="D305" s="35"/>
      <c r="E305" s="35"/>
      <c r="F305" s="35"/>
      <c r="G305" s="35"/>
      <c r="H305" s="35"/>
      <c r="I305" s="35"/>
      <c r="J305" s="35"/>
      <c r="K305" s="35">
        <v>367</v>
      </c>
      <c r="L305" s="35">
        <v>1795</v>
      </c>
      <c r="M305" s="35"/>
      <c r="N305" s="35"/>
      <c r="O305" s="35"/>
      <c r="P305" s="35"/>
      <c r="Q305" s="35"/>
      <c r="R305" s="35"/>
      <c r="S305" s="35"/>
      <c r="T305" s="35">
        <v>7202.94</v>
      </c>
      <c r="U305" s="35">
        <v>4140.82</v>
      </c>
      <c r="V305" s="36">
        <v>1931.2</v>
      </c>
      <c r="W305" s="35"/>
      <c r="X305" s="35">
        <v>46717.32</v>
      </c>
      <c r="Y305" s="35"/>
    </row>
    <row r="306" spans="1:25" s="7" customFormat="1" ht="15.75" customHeight="1" x14ac:dyDescent="0.25">
      <c r="A306" s="12" t="s">
        <v>157</v>
      </c>
      <c r="B306" s="33">
        <v>178386.76</v>
      </c>
      <c r="C306" s="35">
        <f t="shared" si="5"/>
        <v>17394.918000000001</v>
      </c>
      <c r="D306" s="35"/>
      <c r="E306" s="35"/>
      <c r="F306" s="35"/>
      <c r="G306" s="35">
        <v>16458</v>
      </c>
      <c r="H306" s="35"/>
      <c r="I306" s="35"/>
      <c r="J306" s="35"/>
      <c r="K306" s="35">
        <v>376.48</v>
      </c>
      <c r="L306" s="35"/>
      <c r="M306" s="35">
        <f>3841.38+12615.8</f>
        <v>16457.18</v>
      </c>
      <c r="N306" s="35"/>
      <c r="O306" s="35"/>
      <c r="P306" s="35"/>
      <c r="Q306" s="35"/>
      <c r="R306" s="35"/>
      <c r="S306" s="35"/>
      <c r="T306" s="35">
        <v>341.185</v>
      </c>
      <c r="U306" s="35">
        <f>112.253+107</f>
        <v>219.25299999999999</v>
      </c>
      <c r="V306" s="36"/>
      <c r="W306" s="35"/>
      <c r="X306" s="35"/>
      <c r="Y306" s="35"/>
    </row>
    <row r="307" spans="1:25" s="7" customFormat="1" ht="15.75" customHeight="1" x14ac:dyDescent="0.25">
      <c r="A307" s="13" t="s">
        <v>158</v>
      </c>
      <c r="B307" s="33">
        <v>251684.85</v>
      </c>
      <c r="C307" s="35">
        <f t="shared" si="5"/>
        <v>173741.59</v>
      </c>
      <c r="D307" s="35"/>
      <c r="E307" s="35"/>
      <c r="F307" s="35"/>
      <c r="G307" s="35"/>
      <c r="H307" s="35"/>
      <c r="I307" s="35"/>
      <c r="J307" s="35"/>
      <c r="K307" s="35">
        <v>601</v>
      </c>
      <c r="L307" s="35">
        <v>5384</v>
      </c>
      <c r="M307" s="35"/>
      <c r="N307" s="35"/>
      <c r="O307" s="35">
        <v>314.16000000000003</v>
      </c>
      <c r="P307" s="35"/>
      <c r="Q307" s="35"/>
      <c r="R307" s="35"/>
      <c r="S307" s="35"/>
      <c r="T307" s="35"/>
      <c r="U307" s="35"/>
      <c r="V307" s="36">
        <f>865.52+9659</f>
        <v>10524.52</v>
      </c>
      <c r="W307" s="35"/>
      <c r="X307" s="35">
        <v>156917.91</v>
      </c>
      <c r="Y307" s="35"/>
    </row>
    <row r="308" spans="1:25" ht="15.75" customHeight="1" x14ac:dyDescent="0.25">
      <c r="A308" s="13" t="s">
        <v>159</v>
      </c>
      <c r="B308" s="33">
        <v>584317.80000000005</v>
      </c>
      <c r="C308" s="35">
        <f t="shared" si="5"/>
        <v>44672.525600000001</v>
      </c>
      <c r="D308" s="35"/>
      <c r="E308" s="35"/>
      <c r="F308" s="35"/>
      <c r="G308" s="35"/>
      <c r="H308" s="35"/>
      <c r="I308" s="35"/>
      <c r="J308" s="35">
        <f>3796.97+5100.87+6632.99+1125.72</f>
        <v>16656.55</v>
      </c>
      <c r="K308" s="35">
        <f>367.11+302</f>
        <v>669.11</v>
      </c>
      <c r="L308" s="35"/>
      <c r="M308" s="35"/>
      <c r="N308" s="35">
        <v>17232.4486</v>
      </c>
      <c r="O308" s="35"/>
      <c r="P308" s="35"/>
      <c r="Q308" s="35">
        <v>5592</v>
      </c>
      <c r="R308" s="35"/>
      <c r="S308" s="35"/>
      <c r="T308" s="35">
        <f>811.864+2768.76</f>
        <v>3580.6240000000003</v>
      </c>
      <c r="U308" s="35">
        <v>509.02800000000002</v>
      </c>
      <c r="V308" s="36">
        <v>432.76499999999999</v>
      </c>
      <c r="W308" s="35"/>
      <c r="X308" s="35"/>
      <c r="Y308" s="35"/>
    </row>
    <row r="309" spans="1:25" s="10" customFormat="1" ht="15.75" x14ac:dyDescent="0.25">
      <c r="A309" s="50" t="s">
        <v>160</v>
      </c>
      <c r="B309" s="51">
        <v>750518.88</v>
      </c>
      <c r="C309" s="41">
        <f t="shared" si="5"/>
        <v>70019.804000000004</v>
      </c>
      <c r="D309" s="41"/>
      <c r="E309" s="41"/>
      <c r="F309" s="41"/>
      <c r="G309" s="41">
        <v>1090.43</v>
      </c>
      <c r="H309" s="41"/>
      <c r="I309" s="41"/>
      <c r="J309" s="41"/>
      <c r="K309" s="41">
        <f>377.479+367+302+272.24</f>
        <v>1318.7190000000001</v>
      </c>
      <c r="L309" s="41">
        <v>3589.98</v>
      </c>
      <c r="M309" s="41"/>
      <c r="N309" s="41">
        <v>2158.2199999999998</v>
      </c>
      <c r="O309" s="41"/>
      <c r="P309" s="41"/>
      <c r="Q309" s="41">
        <f>2037.79+25370</f>
        <v>27407.79</v>
      </c>
      <c r="R309" s="41"/>
      <c r="S309" s="41">
        <v>8193</v>
      </c>
      <c r="T309" s="41">
        <f>4059.33+6595.86</f>
        <v>10655.189999999999</v>
      </c>
      <c r="U309" s="41">
        <f>2802.75+11938.19</f>
        <v>14740.94</v>
      </c>
      <c r="V309" s="42">
        <f>432.77+432.765</f>
        <v>865.53499999999997</v>
      </c>
      <c r="W309" s="41"/>
      <c r="X309" s="41"/>
      <c r="Y309" s="41"/>
    </row>
    <row r="310" spans="1:25" ht="15.75" customHeight="1" x14ac:dyDescent="0.25">
      <c r="A310" s="12" t="s">
        <v>161</v>
      </c>
      <c r="B310" s="33">
        <v>64770.54</v>
      </c>
      <c r="C310" s="35">
        <f t="shared" si="5"/>
        <v>46955.88</v>
      </c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>
        <v>1723</v>
      </c>
      <c r="R310" s="35"/>
      <c r="S310" s="35"/>
      <c r="T310" s="35"/>
      <c r="U310" s="35"/>
      <c r="V310" s="36"/>
      <c r="W310" s="35"/>
      <c r="X310" s="35">
        <v>45232.88</v>
      </c>
      <c r="Y310" s="35"/>
    </row>
    <row r="311" spans="1:25" s="7" customFormat="1" ht="15.75" customHeight="1" x14ac:dyDescent="0.25">
      <c r="A311" s="12" t="s">
        <v>162</v>
      </c>
      <c r="B311" s="33">
        <v>162377.76</v>
      </c>
      <c r="C311" s="35">
        <f t="shared" si="5"/>
        <v>79692.19</v>
      </c>
      <c r="D311" s="35"/>
      <c r="E311" s="35"/>
      <c r="F311" s="35"/>
      <c r="G311" s="35"/>
      <c r="H311" s="35"/>
      <c r="I311" s="35"/>
      <c r="J311" s="35"/>
      <c r="K311" s="35">
        <f>376.48+376.48</f>
        <v>752.96</v>
      </c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6"/>
      <c r="W311" s="35"/>
      <c r="X311" s="35">
        <v>78939.23</v>
      </c>
      <c r="Y311" s="35"/>
    </row>
    <row r="312" spans="1:25" s="7" customFormat="1" ht="15.75" customHeight="1" x14ac:dyDescent="0.25">
      <c r="A312" s="13" t="s">
        <v>163</v>
      </c>
      <c r="B312" s="33">
        <v>29145.25</v>
      </c>
      <c r="C312" s="35">
        <f t="shared" si="5"/>
        <v>250013.09</v>
      </c>
      <c r="D312" s="35"/>
      <c r="E312" s="35"/>
      <c r="F312" s="35"/>
      <c r="G312" s="35">
        <v>8166</v>
      </c>
      <c r="H312" s="35"/>
      <c r="I312" s="35"/>
      <c r="J312" s="35">
        <v>705.53</v>
      </c>
      <c r="K312" s="35">
        <f>752.95+367</f>
        <v>1119.95</v>
      </c>
      <c r="L312" s="35"/>
      <c r="M312" s="35"/>
      <c r="N312" s="35"/>
      <c r="O312" s="35">
        <v>5387</v>
      </c>
      <c r="P312" s="35"/>
      <c r="Q312" s="35"/>
      <c r="R312" s="35"/>
      <c r="S312" s="35"/>
      <c r="T312" s="35"/>
      <c r="U312" s="35"/>
      <c r="V312" s="36"/>
      <c r="W312" s="35"/>
      <c r="X312" s="35">
        <v>234634.61</v>
      </c>
      <c r="Y312" s="35"/>
    </row>
    <row r="313" spans="1:25" s="7" customFormat="1" ht="15.75" customHeight="1" x14ac:dyDescent="0.25">
      <c r="A313" s="12" t="s">
        <v>278</v>
      </c>
      <c r="B313" s="33">
        <v>603106.56000000006</v>
      </c>
      <c r="C313" s="35">
        <f t="shared" si="5"/>
        <v>540455.50339999993</v>
      </c>
      <c r="D313" s="35"/>
      <c r="E313" s="35"/>
      <c r="F313" s="35"/>
      <c r="G313" s="35">
        <f>118096+527.46</f>
        <v>118623.46</v>
      </c>
      <c r="H313" s="35"/>
      <c r="I313" s="35"/>
      <c r="J313" s="35">
        <f>6640.39+7693.16</f>
        <v>14333.55</v>
      </c>
      <c r="K313" s="35"/>
      <c r="L313" s="35">
        <f>1408.16+29034.96</f>
        <v>30443.119999999999</v>
      </c>
      <c r="M313" s="35"/>
      <c r="N313" s="35">
        <v>4450.5234</v>
      </c>
      <c r="O313" s="35"/>
      <c r="P313" s="35"/>
      <c r="Q313" s="35">
        <v>33589</v>
      </c>
      <c r="R313" s="35"/>
      <c r="S313" s="35">
        <v>405.96</v>
      </c>
      <c r="T313" s="35">
        <f>1721.3+32402.8</f>
        <v>34124.1</v>
      </c>
      <c r="U313" s="35">
        <v>548.36</v>
      </c>
      <c r="V313" s="36"/>
      <c r="W313" s="35"/>
      <c r="X313" s="35">
        <v>299951.59000000003</v>
      </c>
      <c r="Y313" s="35">
        <v>3985.84</v>
      </c>
    </row>
    <row r="314" spans="1:25" ht="15.75" customHeight="1" x14ac:dyDescent="0.25">
      <c r="A314" s="12" t="s">
        <v>279</v>
      </c>
      <c r="B314" s="33">
        <v>306429.71999999997</v>
      </c>
      <c r="C314" s="35">
        <f t="shared" si="5"/>
        <v>247624.44</v>
      </c>
      <c r="D314" s="35"/>
      <c r="E314" s="35"/>
      <c r="F314" s="35"/>
      <c r="G314" s="35">
        <v>196617.21</v>
      </c>
      <c r="H314" s="35"/>
      <c r="I314" s="35"/>
      <c r="J314" s="35">
        <v>1575</v>
      </c>
      <c r="K314" s="35">
        <v>302</v>
      </c>
      <c r="L314" s="35"/>
      <c r="M314" s="35"/>
      <c r="N314" s="35"/>
      <c r="O314" s="35">
        <v>1250.26</v>
      </c>
      <c r="P314" s="35"/>
      <c r="Q314" s="35">
        <v>47059</v>
      </c>
      <c r="R314" s="35"/>
      <c r="S314" s="35">
        <v>820.97</v>
      </c>
      <c r="T314" s="35"/>
      <c r="U314" s="35"/>
      <c r="V314" s="36"/>
      <c r="W314" s="35"/>
      <c r="X314" s="35"/>
      <c r="Y314" s="35"/>
    </row>
    <row r="315" spans="1:25" ht="15.75" customHeight="1" x14ac:dyDescent="0.25">
      <c r="A315" s="12" t="s">
        <v>280</v>
      </c>
      <c r="B315" s="33">
        <v>61891.83</v>
      </c>
      <c r="C315" s="35">
        <f t="shared" si="5"/>
        <v>82115.17</v>
      </c>
      <c r="D315" s="35"/>
      <c r="E315" s="35"/>
      <c r="F315" s="35"/>
      <c r="G315" s="35"/>
      <c r="H315" s="35">
        <v>62955</v>
      </c>
      <c r="I315" s="35"/>
      <c r="J315" s="35">
        <v>1836.72</v>
      </c>
      <c r="K315" s="35"/>
      <c r="L315" s="35">
        <v>16169</v>
      </c>
      <c r="M315" s="35"/>
      <c r="N315" s="35">
        <v>626.44000000000005</v>
      </c>
      <c r="O315" s="35"/>
      <c r="P315" s="35"/>
      <c r="Q315" s="35"/>
      <c r="R315" s="35"/>
      <c r="S315" s="35"/>
      <c r="T315" s="35">
        <v>528.01</v>
      </c>
      <c r="U315" s="35"/>
      <c r="V315" s="36"/>
      <c r="W315" s="35"/>
      <c r="X315" s="35"/>
      <c r="Y315" s="35"/>
    </row>
    <row r="316" spans="1:25" ht="15.75" customHeight="1" x14ac:dyDescent="0.25">
      <c r="A316" s="12" t="s">
        <v>281</v>
      </c>
      <c r="B316" s="33">
        <v>24227.27</v>
      </c>
      <c r="C316" s="35">
        <f t="shared" si="5"/>
        <v>35343.49</v>
      </c>
      <c r="D316" s="35"/>
      <c r="E316" s="35"/>
      <c r="F316" s="35"/>
      <c r="G316" s="35"/>
      <c r="H316" s="35"/>
      <c r="I316" s="35"/>
      <c r="J316" s="35">
        <v>2463.66</v>
      </c>
      <c r="K316" s="35"/>
      <c r="L316" s="35">
        <v>5373.35</v>
      </c>
      <c r="M316" s="35"/>
      <c r="N316" s="35"/>
      <c r="O316" s="35"/>
      <c r="P316" s="35"/>
      <c r="Q316" s="35"/>
      <c r="R316" s="35"/>
      <c r="S316" s="35"/>
      <c r="T316" s="35"/>
      <c r="U316" s="35"/>
      <c r="V316" s="36"/>
      <c r="W316" s="35"/>
      <c r="X316" s="35">
        <v>27506.48</v>
      </c>
      <c r="Y316" s="35"/>
    </row>
    <row r="317" spans="1:25" s="7" customFormat="1" ht="15.75" customHeight="1" x14ac:dyDescent="0.25">
      <c r="A317" s="12" t="s">
        <v>282</v>
      </c>
      <c r="B317" s="33">
        <v>98758.41</v>
      </c>
      <c r="C317" s="35">
        <f t="shared" si="5"/>
        <v>89806.689999999988</v>
      </c>
      <c r="D317" s="35"/>
      <c r="E317" s="35"/>
      <c r="F317" s="35"/>
      <c r="G317" s="35"/>
      <c r="H317" s="35"/>
      <c r="I317" s="35"/>
      <c r="J317" s="35">
        <v>14695.9</v>
      </c>
      <c r="K317" s="35"/>
      <c r="L317" s="35"/>
      <c r="M317" s="35"/>
      <c r="N317" s="35"/>
      <c r="O317" s="35"/>
      <c r="P317" s="35"/>
      <c r="Q317" s="35"/>
      <c r="R317" s="35"/>
      <c r="S317" s="35">
        <v>625</v>
      </c>
      <c r="T317" s="35"/>
      <c r="U317" s="35"/>
      <c r="V317" s="36"/>
      <c r="W317" s="35"/>
      <c r="X317" s="35">
        <v>74485.789999999994</v>
      </c>
      <c r="Y317" s="35"/>
    </row>
    <row r="318" spans="1:25" s="7" customFormat="1" ht="15.75" customHeight="1" x14ac:dyDescent="0.25">
      <c r="A318" s="12" t="s">
        <v>283</v>
      </c>
      <c r="B318" s="33">
        <v>76917.98</v>
      </c>
      <c r="C318" s="35">
        <f t="shared" si="5"/>
        <v>82587.02</v>
      </c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>
        <v>3078.88</v>
      </c>
      <c r="R318" s="35"/>
      <c r="S318" s="35"/>
      <c r="T318" s="35">
        <v>10796.7</v>
      </c>
      <c r="U318" s="35">
        <v>13483.4</v>
      </c>
      <c r="V318" s="36">
        <v>7724.8</v>
      </c>
      <c r="W318" s="35"/>
      <c r="X318" s="35">
        <v>47503.24</v>
      </c>
      <c r="Y318" s="35"/>
    </row>
    <row r="319" spans="1:25" s="7" customFormat="1" ht="15.75" customHeight="1" x14ac:dyDescent="0.25">
      <c r="A319" s="12" t="s">
        <v>284</v>
      </c>
      <c r="B319" s="33">
        <v>26302.23</v>
      </c>
      <c r="C319" s="35">
        <f t="shared" si="5"/>
        <v>18874.77</v>
      </c>
      <c r="D319" s="35"/>
      <c r="E319" s="35"/>
      <c r="F319" s="35"/>
      <c r="G319" s="35"/>
      <c r="H319" s="35"/>
      <c r="I319" s="35"/>
      <c r="J319" s="35">
        <f>12246.6+4335.54</f>
        <v>16582.14</v>
      </c>
      <c r="K319" s="35"/>
      <c r="L319" s="35">
        <v>1795</v>
      </c>
      <c r="M319" s="35"/>
      <c r="N319" s="35"/>
      <c r="O319" s="35"/>
      <c r="P319" s="35"/>
      <c r="Q319" s="35"/>
      <c r="R319" s="35"/>
      <c r="S319" s="35"/>
      <c r="T319" s="35"/>
      <c r="U319" s="35">
        <v>497.63</v>
      </c>
      <c r="V319" s="36"/>
      <c r="W319" s="35"/>
      <c r="X319" s="35"/>
      <c r="Y319" s="35"/>
    </row>
    <row r="320" spans="1:25" ht="15.75" customHeight="1" x14ac:dyDescent="0.25">
      <c r="A320" s="12" t="s">
        <v>186</v>
      </c>
      <c r="B320" s="33">
        <v>47816.17</v>
      </c>
      <c r="C320" s="35">
        <f t="shared" si="5"/>
        <v>38115.089999999997</v>
      </c>
      <c r="D320" s="35"/>
      <c r="E320" s="35"/>
      <c r="F320" s="35"/>
      <c r="G320" s="35"/>
      <c r="H320" s="35"/>
      <c r="I320" s="35"/>
      <c r="J320" s="35">
        <v>2038</v>
      </c>
      <c r="K320" s="35"/>
      <c r="L320" s="35"/>
      <c r="M320" s="35"/>
      <c r="N320" s="35"/>
      <c r="O320" s="35"/>
      <c r="P320" s="35"/>
      <c r="Q320" s="35">
        <v>423</v>
      </c>
      <c r="R320" s="35">
        <v>4354</v>
      </c>
      <c r="S320" s="35"/>
      <c r="T320" s="35"/>
      <c r="U320" s="35"/>
      <c r="V320" s="36"/>
      <c r="W320" s="35"/>
      <c r="X320" s="35">
        <v>30388.09</v>
      </c>
      <c r="Y320" s="35">
        <v>912</v>
      </c>
    </row>
    <row r="321" spans="1:25" s="7" customFormat="1" ht="15.75" customHeight="1" x14ac:dyDescent="0.25">
      <c r="A321" s="12" t="s">
        <v>187</v>
      </c>
      <c r="B321" s="33">
        <v>119132.43</v>
      </c>
      <c r="C321" s="35">
        <f t="shared" si="5"/>
        <v>72361.34</v>
      </c>
      <c r="D321" s="35"/>
      <c r="E321" s="35"/>
      <c r="F321" s="35"/>
      <c r="G321" s="35"/>
      <c r="H321" s="35"/>
      <c r="I321" s="35"/>
      <c r="J321" s="35">
        <v>378.78</v>
      </c>
      <c r="K321" s="35"/>
      <c r="L321" s="35"/>
      <c r="M321" s="35"/>
      <c r="N321" s="35"/>
      <c r="O321" s="35"/>
      <c r="P321" s="35"/>
      <c r="Q321" s="35">
        <f>9028.18+4143.26</f>
        <v>13171.44</v>
      </c>
      <c r="R321" s="35"/>
      <c r="S321" s="35">
        <f>1037.22+345.74</f>
        <v>1382.96</v>
      </c>
      <c r="T321" s="35"/>
      <c r="U321" s="35">
        <v>1018.06</v>
      </c>
      <c r="V321" s="36"/>
      <c r="W321" s="35"/>
      <c r="X321" s="35">
        <v>56410.1</v>
      </c>
      <c r="Y321" s="35"/>
    </row>
    <row r="322" spans="1:25" ht="15.75" customHeight="1" x14ac:dyDescent="0.25">
      <c r="A322" s="12" t="s">
        <v>188</v>
      </c>
      <c r="B322" s="33">
        <v>79292.06</v>
      </c>
      <c r="C322" s="35">
        <f t="shared" si="5"/>
        <v>58593.14</v>
      </c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6"/>
      <c r="W322" s="35"/>
      <c r="X322" s="35">
        <v>58593.14</v>
      </c>
      <c r="Y322" s="35"/>
    </row>
    <row r="323" spans="1:25" s="7" customFormat="1" ht="15.75" customHeight="1" x14ac:dyDescent="0.25">
      <c r="A323" s="12" t="s">
        <v>189</v>
      </c>
      <c r="B323" s="33">
        <v>81615.83</v>
      </c>
      <c r="C323" s="35">
        <f t="shared" si="5"/>
        <v>49030.009999999995</v>
      </c>
      <c r="D323" s="35"/>
      <c r="E323" s="35"/>
      <c r="F323" s="35"/>
      <c r="G323" s="35">
        <v>527</v>
      </c>
      <c r="H323" s="35"/>
      <c r="I323" s="35"/>
      <c r="J323" s="35"/>
      <c r="K323" s="35"/>
      <c r="L323" s="35"/>
      <c r="M323" s="35"/>
      <c r="N323" s="35">
        <v>912.45</v>
      </c>
      <c r="O323" s="35"/>
      <c r="P323" s="35"/>
      <c r="Q323" s="35"/>
      <c r="R323" s="35"/>
      <c r="S323" s="35"/>
      <c r="T323" s="35"/>
      <c r="U323" s="35"/>
      <c r="V323" s="36"/>
      <c r="W323" s="35"/>
      <c r="X323" s="35">
        <v>47590.559999999998</v>
      </c>
      <c r="Y323" s="35"/>
    </row>
    <row r="324" spans="1:25" ht="15.75" customHeight="1" x14ac:dyDescent="0.25">
      <c r="A324" s="12" t="s">
        <v>190</v>
      </c>
      <c r="B324" s="33">
        <v>75866.63</v>
      </c>
      <c r="C324" s="35">
        <f t="shared" si="5"/>
        <v>2774</v>
      </c>
      <c r="D324" s="35"/>
      <c r="E324" s="35"/>
      <c r="F324" s="35"/>
      <c r="G324" s="35"/>
      <c r="H324" s="35"/>
      <c r="I324" s="35"/>
      <c r="J324" s="35">
        <v>2774</v>
      </c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6"/>
      <c r="W324" s="35"/>
      <c r="X324" s="35"/>
      <c r="Y324" s="35"/>
    </row>
    <row r="325" spans="1:25" ht="15.75" customHeight="1" x14ac:dyDescent="0.25">
      <c r="A325" s="12" t="s">
        <v>191</v>
      </c>
      <c r="B325" s="33">
        <v>51662.400000000001</v>
      </c>
      <c r="C325" s="35">
        <f t="shared" si="5"/>
        <v>52455.28</v>
      </c>
      <c r="D325" s="35"/>
      <c r="E325" s="35"/>
      <c r="F325" s="35"/>
      <c r="G325" s="35"/>
      <c r="H325" s="35"/>
      <c r="I325" s="35"/>
      <c r="J325" s="35">
        <v>3851</v>
      </c>
      <c r="K325" s="35"/>
      <c r="L325" s="35"/>
      <c r="M325" s="35"/>
      <c r="N325" s="35"/>
      <c r="O325" s="35"/>
      <c r="P325" s="35"/>
      <c r="Q325" s="35"/>
      <c r="R325" s="35"/>
      <c r="S325" s="35"/>
      <c r="T325" s="35">
        <v>2066.35</v>
      </c>
      <c r="U325" s="35">
        <v>6457.04</v>
      </c>
      <c r="V325" s="36"/>
      <c r="W325" s="35"/>
      <c r="X325" s="35">
        <v>40080.89</v>
      </c>
      <c r="Y325" s="35"/>
    </row>
    <row r="326" spans="1:25" ht="15.75" customHeight="1" x14ac:dyDescent="0.25">
      <c r="A326" s="12" t="s">
        <v>192</v>
      </c>
      <c r="B326" s="33">
        <v>88256.38</v>
      </c>
      <c r="C326" s="35">
        <f t="shared" si="5"/>
        <v>0</v>
      </c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6"/>
      <c r="W326" s="35"/>
      <c r="X326" s="35"/>
      <c r="Y326" s="35"/>
    </row>
    <row r="327" spans="1:25" ht="15.75" customHeight="1" x14ac:dyDescent="0.25">
      <c r="A327" s="12" t="s">
        <v>193</v>
      </c>
      <c r="B327" s="33">
        <v>96977.91</v>
      </c>
      <c r="C327" s="35">
        <f t="shared" si="5"/>
        <v>62212.72</v>
      </c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>
        <v>214</v>
      </c>
      <c r="V327" s="36"/>
      <c r="W327" s="35"/>
      <c r="X327" s="35">
        <v>61998.720000000001</v>
      </c>
      <c r="Y327" s="35"/>
    </row>
    <row r="328" spans="1:25" ht="15.75" customHeight="1" x14ac:dyDescent="0.25">
      <c r="A328" s="12" t="s">
        <v>194</v>
      </c>
      <c r="B328" s="33">
        <v>49218.42</v>
      </c>
      <c r="C328" s="35">
        <f t="shared" si="5"/>
        <v>0</v>
      </c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6"/>
      <c r="W328" s="35"/>
      <c r="X328" s="35"/>
      <c r="Y328" s="35"/>
    </row>
    <row r="329" spans="1:25" ht="15.75" customHeight="1" x14ac:dyDescent="0.25">
      <c r="A329" s="12" t="s">
        <v>195</v>
      </c>
      <c r="B329" s="33">
        <v>20181.52</v>
      </c>
      <c r="C329" s="35">
        <f t="shared" si="5"/>
        <v>20260.689999999999</v>
      </c>
      <c r="D329" s="35"/>
      <c r="E329" s="35"/>
      <c r="F329" s="35"/>
      <c r="G329" s="35"/>
      <c r="H329" s="35"/>
      <c r="I329" s="35"/>
      <c r="J329" s="35">
        <v>2185</v>
      </c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6"/>
      <c r="W329" s="35"/>
      <c r="X329" s="35">
        <v>18075.689999999999</v>
      </c>
      <c r="Y329" s="35"/>
    </row>
    <row r="330" spans="1:25" s="7" customFormat="1" ht="15.75" customHeight="1" x14ac:dyDescent="0.25">
      <c r="A330" s="12" t="s">
        <v>196</v>
      </c>
      <c r="B330" s="33">
        <v>76874.539999999994</v>
      </c>
      <c r="C330" s="35">
        <f t="shared" si="5"/>
        <v>8101.8440000000001</v>
      </c>
      <c r="D330" s="35"/>
      <c r="E330" s="35"/>
      <c r="F330" s="35"/>
      <c r="G330" s="35">
        <v>1818.49</v>
      </c>
      <c r="H330" s="35"/>
      <c r="I330" s="35"/>
      <c r="J330" s="35">
        <v>1608.34</v>
      </c>
      <c r="K330" s="35"/>
      <c r="L330" s="35"/>
      <c r="M330" s="35"/>
      <c r="N330" s="35"/>
      <c r="O330" s="35">
        <v>4579.0140000000001</v>
      </c>
      <c r="P330" s="35"/>
      <c r="Q330" s="35"/>
      <c r="R330" s="35"/>
      <c r="S330" s="35"/>
      <c r="T330" s="35"/>
      <c r="U330" s="35">
        <v>96</v>
      </c>
      <c r="V330" s="36"/>
      <c r="W330" s="35"/>
      <c r="X330" s="35"/>
      <c r="Y330" s="35"/>
    </row>
    <row r="331" spans="1:25" s="7" customFormat="1" ht="15.75" customHeight="1" x14ac:dyDescent="0.25">
      <c r="A331" s="12" t="s">
        <v>197</v>
      </c>
      <c r="B331" s="33">
        <v>84029.66</v>
      </c>
      <c r="C331" s="35">
        <f t="shared" si="5"/>
        <v>64095.360000000001</v>
      </c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>
        <v>8492.32</v>
      </c>
      <c r="R331" s="35"/>
      <c r="S331" s="35"/>
      <c r="T331" s="35">
        <v>6528</v>
      </c>
      <c r="U331" s="35"/>
      <c r="V331" s="36"/>
      <c r="W331" s="35"/>
      <c r="X331" s="35">
        <v>49075.040000000001</v>
      </c>
      <c r="Y331" s="35"/>
    </row>
    <row r="332" spans="1:25" ht="15.75" customHeight="1" x14ac:dyDescent="0.25">
      <c r="A332" s="12" t="s">
        <v>198</v>
      </c>
      <c r="B332" s="33">
        <v>20661.490000000002</v>
      </c>
      <c r="C332" s="35">
        <f t="shared" si="5"/>
        <v>107</v>
      </c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>
        <v>107</v>
      </c>
      <c r="V332" s="36"/>
      <c r="W332" s="35"/>
      <c r="X332" s="35"/>
      <c r="Y332" s="35"/>
    </row>
    <row r="333" spans="1:25" ht="15.75" customHeight="1" x14ac:dyDescent="0.25">
      <c r="A333" s="12" t="s">
        <v>199</v>
      </c>
      <c r="B333" s="33">
        <v>25852.69</v>
      </c>
      <c r="C333" s="35">
        <f t="shared" si="5"/>
        <v>1608</v>
      </c>
      <c r="D333" s="35"/>
      <c r="E333" s="35"/>
      <c r="F333" s="35"/>
      <c r="G333" s="35"/>
      <c r="H333" s="35"/>
      <c r="I333" s="35"/>
      <c r="J333" s="35"/>
      <c r="K333" s="35">
        <v>302</v>
      </c>
      <c r="L333" s="35"/>
      <c r="M333" s="35"/>
      <c r="N333" s="35"/>
      <c r="O333" s="35"/>
      <c r="P333" s="35"/>
      <c r="Q333" s="35">
        <v>960</v>
      </c>
      <c r="R333" s="35"/>
      <c r="S333" s="35">
        <v>346</v>
      </c>
      <c r="T333" s="35"/>
      <c r="U333" s="35"/>
      <c r="V333" s="36"/>
      <c r="W333" s="35"/>
      <c r="X333" s="35"/>
      <c r="Y333" s="35"/>
    </row>
    <row r="334" spans="1:25" s="7" customFormat="1" ht="15.75" customHeight="1" x14ac:dyDescent="0.25">
      <c r="A334" s="13" t="s">
        <v>200</v>
      </c>
      <c r="B334" s="43">
        <v>71090.759999999995</v>
      </c>
      <c r="C334" s="35">
        <f t="shared" si="5"/>
        <v>112216.54</v>
      </c>
      <c r="D334" s="35"/>
      <c r="E334" s="35"/>
      <c r="F334" s="35"/>
      <c r="G334" s="35"/>
      <c r="H334" s="35"/>
      <c r="I334" s="35"/>
      <c r="J334" s="35">
        <v>3736.36</v>
      </c>
      <c r="K334" s="35"/>
      <c r="L334" s="35"/>
      <c r="M334" s="35"/>
      <c r="N334" s="35"/>
      <c r="O334" s="35"/>
      <c r="P334" s="35"/>
      <c r="Q334" s="35">
        <f>16382.5+18684.1</f>
        <v>35066.6</v>
      </c>
      <c r="R334" s="35"/>
      <c r="S334" s="35">
        <v>27449</v>
      </c>
      <c r="T334" s="35"/>
      <c r="U334" s="35"/>
      <c r="V334" s="36">
        <v>1081</v>
      </c>
      <c r="W334" s="35"/>
      <c r="X334" s="35">
        <v>44883.58</v>
      </c>
      <c r="Y334" s="35"/>
    </row>
    <row r="335" spans="1:25" ht="15.75" customHeight="1" x14ac:dyDescent="0.25">
      <c r="A335" s="12" t="s">
        <v>201</v>
      </c>
      <c r="B335" s="33">
        <v>74555.31</v>
      </c>
      <c r="C335" s="35">
        <f t="shared" ref="C335:C383" si="6">D335+E335+G335+H335+I335+J335+K335+L335+N335+O335+P335+Q335+R335+S335+T335+U335+V335+W335+X335+Y335+F335</f>
        <v>3588.5429999999997</v>
      </c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>
        <v>1426</v>
      </c>
      <c r="R335" s="35"/>
      <c r="S335" s="35"/>
      <c r="T335" s="35">
        <v>1263.0999999999999</v>
      </c>
      <c r="U335" s="35">
        <v>899.44299999999998</v>
      </c>
      <c r="V335" s="36"/>
      <c r="W335" s="35"/>
      <c r="X335" s="35"/>
      <c r="Y335" s="35"/>
    </row>
    <row r="336" spans="1:25" ht="15.75" customHeight="1" x14ac:dyDescent="0.25">
      <c r="A336" s="12" t="s">
        <v>202</v>
      </c>
      <c r="B336" s="33">
        <v>90779.9</v>
      </c>
      <c r="C336" s="35">
        <f t="shared" si="6"/>
        <v>74721.820000000007</v>
      </c>
      <c r="D336" s="35">
        <v>15697</v>
      </c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6">
        <v>5671</v>
      </c>
      <c r="W336" s="35"/>
      <c r="X336" s="35">
        <v>53353.82</v>
      </c>
      <c r="Y336" s="35"/>
    </row>
    <row r="337" spans="1:25" ht="15.75" customHeight="1" x14ac:dyDescent="0.25">
      <c r="A337" s="12" t="s">
        <v>203</v>
      </c>
      <c r="B337" s="33">
        <v>86604.47</v>
      </c>
      <c r="C337" s="35">
        <f t="shared" si="6"/>
        <v>42025.14</v>
      </c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>
        <v>4040</v>
      </c>
      <c r="Q337" s="35"/>
      <c r="R337" s="35"/>
      <c r="S337" s="35"/>
      <c r="T337" s="35"/>
      <c r="U337" s="35"/>
      <c r="V337" s="36"/>
      <c r="W337" s="35"/>
      <c r="X337" s="35">
        <v>37985.14</v>
      </c>
      <c r="Y337" s="35"/>
    </row>
    <row r="338" spans="1:25" s="7" customFormat="1" ht="15.75" customHeight="1" x14ac:dyDescent="0.25">
      <c r="A338" s="12" t="s">
        <v>204</v>
      </c>
      <c r="B338" s="33">
        <v>22803.43</v>
      </c>
      <c r="C338" s="35">
        <f t="shared" si="6"/>
        <v>75647.33</v>
      </c>
      <c r="D338" s="35"/>
      <c r="E338" s="35"/>
      <c r="F338" s="35"/>
      <c r="G338" s="35"/>
      <c r="H338" s="35"/>
      <c r="I338" s="35"/>
      <c r="J338" s="35">
        <v>2122.1</v>
      </c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6"/>
      <c r="W338" s="35"/>
      <c r="X338" s="35">
        <v>73525.23</v>
      </c>
      <c r="Y338" s="35"/>
    </row>
    <row r="339" spans="1:25" ht="15.75" customHeight="1" x14ac:dyDescent="0.25">
      <c r="A339" s="12" t="s">
        <v>205</v>
      </c>
      <c r="B339" s="33">
        <v>71140.070000000007</v>
      </c>
      <c r="C339" s="35">
        <f t="shared" si="6"/>
        <v>0</v>
      </c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6"/>
      <c r="W339" s="35"/>
      <c r="X339" s="35"/>
      <c r="Y339" s="35"/>
    </row>
    <row r="340" spans="1:25" ht="15.75" customHeight="1" x14ac:dyDescent="0.25">
      <c r="A340" s="12" t="s">
        <v>206</v>
      </c>
      <c r="B340" s="33">
        <v>45429.83</v>
      </c>
      <c r="C340" s="35">
        <f t="shared" si="6"/>
        <v>7886</v>
      </c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6"/>
      <c r="W340" s="35"/>
      <c r="X340" s="35"/>
      <c r="Y340" s="35">
        <v>7886</v>
      </c>
    </row>
    <row r="341" spans="1:25" ht="15.75" customHeight="1" x14ac:dyDescent="0.25">
      <c r="A341" s="12" t="s">
        <v>207</v>
      </c>
      <c r="B341" s="33">
        <v>191443.71</v>
      </c>
      <c r="C341" s="35">
        <f t="shared" si="6"/>
        <v>7290.0500000000011</v>
      </c>
      <c r="D341" s="35"/>
      <c r="E341" s="35"/>
      <c r="F341" s="35"/>
      <c r="G341" s="35">
        <f>278.256+688</f>
        <v>966.25599999999997</v>
      </c>
      <c r="H341" s="35"/>
      <c r="I341" s="35"/>
      <c r="J341" s="35"/>
      <c r="K341" s="35">
        <f>367+577.26</f>
        <v>944.26</v>
      </c>
      <c r="L341" s="35"/>
      <c r="M341" s="35"/>
      <c r="N341" s="35"/>
      <c r="O341" s="35"/>
      <c r="P341" s="35"/>
      <c r="Q341" s="35"/>
      <c r="R341" s="35"/>
      <c r="S341" s="35">
        <v>345.74</v>
      </c>
      <c r="T341" s="35">
        <f>1746.13+579.899+2275</f>
        <v>4601.0290000000005</v>
      </c>
      <c r="U341" s="35"/>
      <c r="V341" s="36">
        <v>432.76499999999999</v>
      </c>
      <c r="W341" s="35"/>
      <c r="X341" s="35"/>
      <c r="Y341" s="35"/>
    </row>
    <row r="342" spans="1:25" s="7" customFormat="1" ht="15.75" customHeight="1" x14ac:dyDescent="0.25">
      <c r="A342" s="12" t="s">
        <v>208</v>
      </c>
      <c r="B342" s="33">
        <v>28133.89</v>
      </c>
      <c r="C342" s="35">
        <f t="shared" si="6"/>
        <v>114565.4878</v>
      </c>
      <c r="D342" s="35"/>
      <c r="E342" s="35"/>
      <c r="F342" s="35"/>
      <c r="G342" s="35">
        <v>278.25599999999997</v>
      </c>
      <c r="H342" s="35">
        <v>108351</v>
      </c>
      <c r="I342" s="35"/>
      <c r="J342" s="35">
        <v>4133</v>
      </c>
      <c r="K342" s="35"/>
      <c r="L342" s="35"/>
      <c r="M342" s="35"/>
      <c r="N342" s="35">
        <v>1059.6518000000001</v>
      </c>
      <c r="O342" s="35"/>
      <c r="P342" s="35"/>
      <c r="Q342" s="35"/>
      <c r="R342" s="35"/>
      <c r="S342" s="35"/>
      <c r="T342" s="35"/>
      <c r="U342" s="35">
        <v>743.58</v>
      </c>
      <c r="V342" s="36"/>
      <c r="W342" s="35"/>
      <c r="X342" s="35"/>
      <c r="Y342" s="35"/>
    </row>
    <row r="343" spans="1:25" ht="15.75" customHeight="1" x14ac:dyDescent="0.25">
      <c r="A343" s="12" t="s">
        <v>209</v>
      </c>
      <c r="B343" s="33">
        <v>130174.04</v>
      </c>
      <c r="C343" s="35">
        <f t="shared" si="6"/>
        <v>83367.47</v>
      </c>
      <c r="D343" s="35"/>
      <c r="E343" s="35"/>
      <c r="F343" s="35"/>
      <c r="G343" s="35"/>
      <c r="H343" s="35"/>
      <c r="I343" s="35"/>
      <c r="J343" s="35">
        <v>3423.23</v>
      </c>
      <c r="K343" s="35"/>
      <c r="L343" s="35"/>
      <c r="M343" s="35"/>
      <c r="N343" s="35"/>
      <c r="O343" s="35"/>
      <c r="P343" s="35"/>
      <c r="Q343" s="35"/>
      <c r="R343" s="35"/>
      <c r="S343" s="35"/>
      <c r="T343" s="35">
        <v>1240</v>
      </c>
      <c r="U343" s="35"/>
      <c r="V343" s="36"/>
      <c r="W343" s="35"/>
      <c r="X343" s="35">
        <v>70818.240000000005</v>
      </c>
      <c r="Y343" s="35">
        <v>7886</v>
      </c>
    </row>
    <row r="344" spans="1:25" s="7" customFormat="1" ht="15.75" customHeight="1" x14ac:dyDescent="0.25">
      <c r="A344" s="12" t="s">
        <v>210</v>
      </c>
      <c r="B344" s="33">
        <v>61018.51</v>
      </c>
      <c r="C344" s="35">
        <f t="shared" si="6"/>
        <v>43199.13</v>
      </c>
      <c r="D344" s="35"/>
      <c r="E344" s="35"/>
      <c r="F344" s="35"/>
      <c r="G344" s="35"/>
      <c r="H344" s="35"/>
      <c r="I344" s="35"/>
      <c r="J344" s="35">
        <v>3072.73</v>
      </c>
      <c r="K344" s="35"/>
      <c r="L344" s="35"/>
      <c r="M344" s="35"/>
      <c r="N344" s="35"/>
      <c r="O344" s="35"/>
      <c r="P344" s="35"/>
      <c r="Q344" s="35">
        <v>1574.06</v>
      </c>
      <c r="R344" s="35"/>
      <c r="S344" s="35">
        <v>3167.2</v>
      </c>
      <c r="T344" s="35"/>
      <c r="U344" s="35">
        <v>107</v>
      </c>
      <c r="V344" s="36"/>
      <c r="W344" s="35"/>
      <c r="X344" s="35">
        <v>35278.14</v>
      </c>
      <c r="Y344" s="35"/>
    </row>
    <row r="345" spans="1:25" ht="15.75" customHeight="1" x14ac:dyDescent="0.25">
      <c r="A345" s="12" t="s">
        <v>211</v>
      </c>
      <c r="B345" s="33">
        <v>66104.320000000007</v>
      </c>
      <c r="C345" s="35">
        <f t="shared" si="6"/>
        <v>16112.82</v>
      </c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>
        <v>10569.1</v>
      </c>
      <c r="V345" s="36">
        <v>5543.72</v>
      </c>
      <c r="W345" s="35"/>
      <c r="X345" s="35"/>
      <c r="Y345" s="35"/>
    </row>
    <row r="346" spans="1:25" s="7" customFormat="1" ht="15.75" customHeight="1" x14ac:dyDescent="0.25">
      <c r="A346" s="12" t="s">
        <v>212</v>
      </c>
      <c r="B346" s="33">
        <v>89720.83</v>
      </c>
      <c r="C346" s="35">
        <f t="shared" si="6"/>
        <v>93293.41</v>
      </c>
      <c r="D346" s="35"/>
      <c r="E346" s="35"/>
      <c r="F346" s="35"/>
      <c r="G346" s="35"/>
      <c r="H346" s="35"/>
      <c r="I346" s="35"/>
      <c r="J346" s="35">
        <f>19368.1+57+299.52+2119</f>
        <v>21843.62</v>
      </c>
      <c r="K346" s="35">
        <f>376.48+319.05+366.98</f>
        <v>1062.51</v>
      </c>
      <c r="L346" s="35">
        <v>6653</v>
      </c>
      <c r="M346" s="35"/>
      <c r="N346" s="35"/>
      <c r="O346" s="35"/>
      <c r="P346" s="35"/>
      <c r="Q346" s="35"/>
      <c r="R346" s="35"/>
      <c r="S346" s="35"/>
      <c r="T346" s="35">
        <f>496.5+4208</f>
        <v>4704.5</v>
      </c>
      <c r="U346" s="35"/>
      <c r="V346" s="36"/>
      <c r="W346" s="35"/>
      <c r="X346" s="35">
        <v>59029.78</v>
      </c>
      <c r="Y346" s="35"/>
    </row>
    <row r="347" spans="1:25" ht="15.75" customHeight="1" x14ac:dyDescent="0.25">
      <c r="A347" s="12" t="s">
        <v>213</v>
      </c>
      <c r="B347" s="33">
        <v>55465.25</v>
      </c>
      <c r="C347" s="35">
        <f t="shared" si="6"/>
        <v>36554.490000000005</v>
      </c>
      <c r="D347" s="35"/>
      <c r="E347" s="35"/>
      <c r="F347" s="35"/>
      <c r="G347" s="35"/>
      <c r="H347" s="35"/>
      <c r="I347" s="35"/>
      <c r="J347" s="35"/>
      <c r="K347" s="35">
        <v>1552</v>
      </c>
      <c r="L347" s="35">
        <v>4789</v>
      </c>
      <c r="M347" s="35"/>
      <c r="N347" s="35"/>
      <c r="O347" s="35"/>
      <c r="P347" s="35"/>
      <c r="Q347" s="35"/>
      <c r="R347" s="35"/>
      <c r="S347" s="35"/>
      <c r="T347" s="35"/>
      <c r="U347" s="35"/>
      <c r="V347" s="36"/>
      <c r="W347" s="35"/>
      <c r="X347" s="35">
        <v>30213.49</v>
      </c>
      <c r="Y347" s="35"/>
    </row>
    <row r="348" spans="1:25" s="10" customFormat="1" ht="15.75" customHeight="1" x14ac:dyDescent="0.25">
      <c r="A348" s="55" t="s">
        <v>214</v>
      </c>
      <c r="B348" s="51">
        <v>108266.75</v>
      </c>
      <c r="C348" s="41">
        <f t="shared" si="6"/>
        <v>72488.659999999989</v>
      </c>
      <c r="D348" s="41"/>
      <c r="E348" s="41"/>
      <c r="F348" s="41"/>
      <c r="G348" s="41">
        <v>2082.81</v>
      </c>
      <c r="H348" s="41"/>
      <c r="I348" s="41"/>
      <c r="J348" s="41"/>
      <c r="K348" s="41">
        <f>752.95+776</f>
        <v>1528.95</v>
      </c>
      <c r="L348" s="41"/>
      <c r="M348" s="41"/>
      <c r="N348" s="41"/>
      <c r="O348" s="41"/>
      <c r="P348" s="41"/>
      <c r="Q348" s="41"/>
      <c r="R348" s="41"/>
      <c r="S348" s="41"/>
      <c r="T348" s="41"/>
      <c r="U348" s="41">
        <v>591</v>
      </c>
      <c r="V348" s="42"/>
      <c r="W348" s="41"/>
      <c r="X348" s="41">
        <v>68285.899999999994</v>
      </c>
      <c r="Y348" s="41"/>
    </row>
    <row r="349" spans="1:25" s="7" customFormat="1" ht="15.75" customHeight="1" x14ac:dyDescent="0.25">
      <c r="A349" s="12" t="s">
        <v>215</v>
      </c>
      <c r="B349" s="33">
        <v>46610.16</v>
      </c>
      <c r="C349" s="35">
        <f t="shared" si="6"/>
        <v>44802.976999999999</v>
      </c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>
        <v>26249.48</v>
      </c>
      <c r="R349" s="35"/>
      <c r="S349" s="35"/>
      <c r="T349" s="35">
        <f>347.947+16840</f>
        <v>17187.947</v>
      </c>
      <c r="U349" s="35">
        <f>1258.55+107</f>
        <v>1365.55</v>
      </c>
      <c r="V349" s="36"/>
      <c r="W349" s="35"/>
      <c r="X349" s="35"/>
      <c r="Y349" s="35"/>
    </row>
    <row r="350" spans="1:25" ht="15.75" customHeight="1" x14ac:dyDescent="0.25">
      <c r="A350" s="12" t="s">
        <v>216</v>
      </c>
      <c r="B350" s="33">
        <v>113722.22</v>
      </c>
      <c r="C350" s="35">
        <f t="shared" si="6"/>
        <v>69797.53</v>
      </c>
      <c r="D350" s="35"/>
      <c r="E350" s="35"/>
      <c r="F350" s="35"/>
      <c r="G350" s="35">
        <v>37062.03</v>
      </c>
      <c r="H350" s="35"/>
      <c r="I350" s="35"/>
      <c r="J350" s="35">
        <f>30168.1+1820.4+747</f>
        <v>32735.5</v>
      </c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6"/>
      <c r="W350" s="35"/>
      <c r="X350" s="35"/>
      <c r="Y350" s="35"/>
    </row>
    <row r="351" spans="1:25" s="7" customFormat="1" ht="15.75" customHeight="1" x14ac:dyDescent="0.25">
      <c r="A351" s="12" t="s">
        <v>217</v>
      </c>
      <c r="B351" s="33">
        <v>60457.57</v>
      </c>
      <c r="C351" s="35">
        <f t="shared" si="6"/>
        <v>58585.03</v>
      </c>
      <c r="D351" s="35"/>
      <c r="E351" s="35"/>
      <c r="F351" s="35"/>
      <c r="G351" s="35">
        <f>11935.23+852.99</f>
        <v>12788.22</v>
      </c>
      <c r="H351" s="35"/>
      <c r="I351" s="35"/>
      <c r="J351" s="35"/>
      <c r="K351" s="35">
        <v>302</v>
      </c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6"/>
      <c r="W351" s="35"/>
      <c r="X351" s="35">
        <v>45494.81</v>
      </c>
      <c r="Y351" s="35"/>
    </row>
    <row r="352" spans="1:25" ht="15.75" customHeight="1" x14ac:dyDescent="0.25">
      <c r="A352" s="12" t="s">
        <v>218</v>
      </c>
      <c r="B352" s="33">
        <v>79711.56</v>
      </c>
      <c r="C352" s="35">
        <f t="shared" si="6"/>
        <v>776</v>
      </c>
      <c r="D352" s="35"/>
      <c r="E352" s="35"/>
      <c r="F352" s="35"/>
      <c r="G352" s="35"/>
      <c r="H352" s="35"/>
      <c r="I352" s="35"/>
      <c r="J352" s="35"/>
      <c r="K352" s="35">
        <v>776</v>
      </c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6"/>
      <c r="W352" s="35"/>
      <c r="X352" s="35"/>
      <c r="Y352" s="35"/>
    </row>
    <row r="353" spans="1:25" ht="15.75" customHeight="1" x14ac:dyDescent="0.25">
      <c r="A353" s="12" t="s">
        <v>219</v>
      </c>
      <c r="B353" s="33">
        <v>88754.02</v>
      </c>
      <c r="C353" s="35">
        <f t="shared" si="6"/>
        <v>69867.820000000007</v>
      </c>
      <c r="D353" s="35"/>
      <c r="E353" s="35"/>
      <c r="F353" s="35"/>
      <c r="G353" s="35"/>
      <c r="H353" s="35"/>
      <c r="I353" s="35"/>
      <c r="J353" s="35"/>
      <c r="K353" s="35"/>
      <c r="L353" s="35">
        <v>11100</v>
      </c>
      <c r="M353" s="35"/>
      <c r="N353" s="35"/>
      <c r="O353" s="35"/>
      <c r="P353" s="35"/>
      <c r="Q353" s="35"/>
      <c r="R353" s="35"/>
      <c r="S353" s="35"/>
      <c r="T353" s="35"/>
      <c r="U353" s="35"/>
      <c r="V353" s="36"/>
      <c r="W353" s="35"/>
      <c r="X353" s="35">
        <v>58767.82</v>
      </c>
      <c r="Y353" s="35"/>
    </row>
    <row r="354" spans="1:25" ht="15.75" customHeight="1" x14ac:dyDescent="0.25">
      <c r="A354" s="12" t="s">
        <v>220</v>
      </c>
      <c r="B354" s="33">
        <v>71600.53</v>
      </c>
      <c r="C354" s="35">
        <f t="shared" si="6"/>
        <v>0</v>
      </c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6"/>
      <c r="W354" s="35"/>
      <c r="X354" s="35"/>
      <c r="Y354" s="35"/>
    </row>
    <row r="355" spans="1:25" s="7" customFormat="1" ht="15.75" customHeight="1" x14ac:dyDescent="0.25">
      <c r="A355" s="12" t="s">
        <v>221</v>
      </c>
      <c r="B355" s="33">
        <v>106132.16</v>
      </c>
      <c r="C355" s="35">
        <f t="shared" si="6"/>
        <v>4768.4549999999999</v>
      </c>
      <c r="D355" s="35"/>
      <c r="E355" s="35"/>
      <c r="F355" s="35"/>
      <c r="G355" s="35">
        <v>995</v>
      </c>
      <c r="H355" s="35"/>
      <c r="I355" s="35"/>
      <c r="J355" s="35">
        <v>1200.1400000000001</v>
      </c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>
        <f>509.03+766</f>
        <v>1275.03</v>
      </c>
      <c r="V355" s="36">
        <f>432.765+865.52</f>
        <v>1298.2849999999999</v>
      </c>
      <c r="W355" s="35"/>
      <c r="X355" s="35"/>
      <c r="Y355" s="35"/>
    </row>
    <row r="356" spans="1:25" s="7" customFormat="1" ht="15.75" customHeight="1" x14ac:dyDescent="0.25">
      <c r="A356" s="12" t="s">
        <v>222</v>
      </c>
      <c r="B356" s="33">
        <v>87317.43</v>
      </c>
      <c r="C356" s="35">
        <f t="shared" si="6"/>
        <v>10414.810000000001</v>
      </c>
      <c r="D356" s="35"/>
      <c r="E356" s="35"/>
      <c r="F356" s="35"/>
      <c r="G356" s="35"/>
      <c r="H356" s="35"/>
      <c r="I356" s="35"/>
      <c r="J356" s="35"/>
      <c r="K356" s="35">
        <v>776</v>
      </c>
      <c r="L356" s="35">
        <v>7001.72</v>
      </c>
      <c r="M356" s="35"/>
      <c r="N356" s="35">
        <v>782.32</v>
      </c>
      <c r="O356" s="35"/>
      <c r="P356" s="35"/>
      <c r="Q356" s="35"/>
      <c r="R356" s="35"/>
      <c r="S356" s="35"/>
      <c r="T356" s="35">
        <v>1422</v>
      </c>
      <c r="U356" s="35"/>
      <c r="V356" s="36">
        <v>432.77</v>
      </c>
      <c r="W356" s="35"/>
      <c r="X356" s="35"/>
      <c r="Y356" s="35"/>
    </row>
    <row r="357" spans="1:25" ht="15" customHeight="1" x14ac:dyDescent="0.25">
      <c r="A357" s="12" t="s">
        <v>223</v>
      </c>
      <c r="B357" s="33">
        <v>42868.52</v>
      </c>
      <c r="C357" s="35">
        <f t="shared" si="6"/>
        <v>37126.31</v>
      </c>
      <c r="D357" s="35"/>
      <c r="E357" s="35"/>
      <c r="F357" s="35"/>
      <c r="G357" s="35"/>
      <c r="H357" s="35"/>
      <c r="I357" s="35"/>
      <c r="J357" s="35"/>
      <c r="K357" s="35"/>
      <c r="L357" s="35">
        <f>5425.38+7600</f>
        <v>13025.380000000001</v>
      </c>
      <c r="M357" s="35"/>
      <c r="N357" s="35"/>
      <c r="O357" s="35"/>
      <c r="P357" s="35"/>
      <c r="Q357" s="35"/>
      <c r="R357" s="35"/>
      <c r="S357" s="35"/>
      <c r="T357" s="35"/>
      <c r="U357" s="35"/>
      <c r="V357" s="36"/>
      <c r="W357" s="35"/>
      <c r="X357" s="35">
        <v>24100.93</v>
      </c>
      <c r="Y357" s="35"/>
    </row>
    <row r="358" spans="1:25" ht="15.75" customHeight="1" x14ac:dyDescent="0.25">
      <c r="A358" s="12" t="s">
        <v>224</v>
      </c>
      <c r="B358" s="33">
        <v>181993.52</v>
      </c>
      <c r="C358" s="35">
        <f t="shared" si="6"/>
        <v>608</v>
      </c>
      <c r="D358" s="35"/>
      <c r="E358" s="35"/>
      <c r="F358" s="35"/>
      <c r="G358" s="35"/>
      <c r="H358" s="35"/>
      <c r="I358" s="35"/>
      <c r="J358" s="35"/>
      <c r="K358" s="35">
        <v>608</v>
      </c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6"/>
      <c r="W358" s="35"/>
      <c r="X358" s="35"/>
      <c r="Y358" s="35"/>
    </row>
    <row r="359" spans="1:25" s="7" customFormat="1" ht="15.75" customHeight="1" x14ac:dyDescent="0.25">
      <c r="A359" s="12" t="s">
        <v>225</v>
      </c>
      <c r="B359" s="33">
        <v>50746.91</v>
      </c>
      <c r="C359" s="35">
        <f t="shared" si="6"/>
        <v>16208.96</v>
      </c>
      <c r="D359" s="35"/>
      <c r="E359" s="35"/>
      <c r="F359" s="35"/>
      <c r="G359" s="35"/>
      <c r="H359" s="35"/>
      <c r="I359" s="35"/>
      <c r="J359" s="35">
        <v>3802.37</v>
      </c>
      <c r="K359" s="35">
        <v>776</v>
      </c>
      <c r="L359" s="35">
        <v>11402</v>
      </c>
      <c r="M359" s="35"/>
      <c r="N359" s="35"/>
      <c r="O359" s="35"/>
      <c r="P359" s="35"/>
      <c r="Q359" s="35"/>
      <c r="R359" s="35"/>
      <c r="S359" s="35"/>
      <c r="T359" s="35"/>
      <c r="U359" s="35">
        <v>228.59</v>
      </c>
      <c r="V359" s="36"/>
      <c r="W359" s="35"/>
      <c r="X359" s="35"/>
      <c r="Y359" s="35"/>
    </row>
    <row r="360" spans="1:25" ht="15.75" customHeight="1" x14ac:dyDescent="0.25">
      <c r="A360" s="12" t="s">
        <v>226</v>
      </c>
      <c r="B360" s="33">
        <v>32584.639999999999</v>
      </c>
      <c r="C360" s="35">
        <f t="shared" si="6"/>
        <v>3327</v>
      </c>
      <c r="D360" s="35">
        <v>743</v>
      </c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>
        <v>2584</v>
      </c>
      <c r="R360" s="35"/>
      <c r="S360" s="35"/>
      <c r="T360" s="35"/>
      <c r="U360" s="35"/>
      <c r="V360" s="36"/>
      <c r="W360" s="35"/>
      <c r="X360" s="35"/>
      <c r="Y360" s="35"/>
    </row>
    <row r="361" spans="1:25" ht="15.75" customHeight="1" x14ac:dyDescent="0.25">
      <c r="A361" s="12" t="s">
        <v>227</v>
      </c>
      <c r="B361" s="33" t="s">
        <v>402</v>
      </c>
      <c r="C361" s="35">
        <f t="shared" si="6"/>
        <v>49788.59</v>
      </c>
      <c r="D361" s="35"/>
      <c r="E361" s="35"/>
      <c r="F361" s="35"/>
      <c r="G361" s="35"/>
      <c r="H361" s="35"/>
      <c r="I361" s="35"/>
      <c r="J361" s="35"/>
      <c r="K361" s="35">
        <v>376.48</v>
      </c>
      <c r="L361" s="35"/>
      <c r="M361" s="35"/>
      <c r="N361" s="35"/>
      <c r="O361" s="35"/>
      <c r="P361" s="35"/>
      <c r="Q361" s="35"/>
      <c r="R361" s="35"/>
      <c r="S361" s="35"/>
      <c r="T361" s="35">
        <v>1721.3</v>
      </c>
      <c r="U361" s="35">
        <v>1759.36</v>
      </c>
      <c r="V361" s="36"/>
      <c r="W361" s="35"/>
      <c r="X361" s="35">
        <v>45931.45</v>
      </c>
      <c r="Y361" s="35"/>
    </row>
    <row r="362" spans="1:25" ht="15.75" customHeight="1" x14ac:dyDescent="0.25">
      <c r="A362" s="12" t="s">
        <v>228</v>
      </c>
      <c r="B362" s="33">
        <v>188220.6</v>
      </c>
      <c r="C362" s="35">
        <f t="shared" si="6"/>
        <v>9329.4279999999999</v>
      </c>
      <c r="D362" s="35"/>
      <c r="E362" s="35"/>
      <c r="F362" s="35"/>
      <c r="G362" s="35"/>
      <c r="H362" s="35"/>
      <c r="I362" s="35"/>
      <c r="J362" s="35">
        <v>1820.4</v>
      </c>
      <c r="K362" s="35"/>
      <c r="L362" s="35"/>
      <c r="M362" s="35"/>
      <c r="N362" s="35"/>
      <c r="O362" s="35"/>
      <c r="P362" s="35"/>
      <c r="Q362" s="35"/>
      <c r="R362" s="35"/>
      <c r="S362" s="35"/>
      <c r="T362" s="35">
        <v>918.02800000000002</v>
      </c>
      <c r="U362" s="35">
        <f>1097.9+4627.58</f>
        <v>5725.48</v>
      </c>
      <c r="V362" s="36">
        <v>865.52</v>
      </c>
      <c r="W362" s="35"/>
      <c r="X362" s="35"/>
      <c r="Y362" s="35"/>
    </row>
    <row r="363" spans="1:25" ht="15.75" customHeight="1" x14ac:dyDescent="0.25">
      <c r="A363" s="12" t="s">
        <v>229</v>
      </c>
      <c r="B363" s="33">
        <v>105685.92</v>
      </c>
      <c r="C363" s="35">
        <f t="shared" si="6"/>
        <v>43040.14</v>
      </c>
      <c r="D363" s="35"/>
      <c r="E363" s="35"/>
      <c r="F363" s="35"/>
      <c r="G363" s="35"/>
      <c r="H363" s="35"/>
      <c r="I363" s="35"/>
      <c r="J363" s="35">
        <f>7326.17+3797.24</f>
        <v>11123.41</v>
      </c>
      <c r="K363" s="35"/>
      <c r="L363" s="35">
        <v>31309.759999999998</v>
      </c>
      <c r="M363" s="35"/>
      <c r="N363" s="35"/>
      <c r="O363" s="35"/>
      <c r="P363" s="35"/>
      <c r="Q363" s="35"/>
      <c r="R363" s="35"/>
      <c r="S363" s="35"/>
      <c r="T363" s="35"/>
      <c r="U363" s="35">
        <v>606.97</v>
      </c>
      <c r="V363" s="36"/>
      <c r="W363" s="35"/>
      <c r="X363" s="35"/>
      <c r="Y363" s="35"/>
    </row>
    <row r="364" spans="1:25" s="10" customFormat="1" ht="15.75" customHeight="1" x14ac:dyDescent="0.25">
      <c r="A364" s="50" t="s">
        <v>230</v>
      </c>
      <c r="B364" s="51">
        <v>341912.16</v>
      </c>
      <c r="C364" s="41">
        <f t="shared" si="6"/>
        <v>47767.819000000003</v>
      </c>
      <c r="D364" s="41"/>
      <c r="E364" s="41"/>
      <c r="F364" s="41"/>
      <c r="G364" s="41"/>
      <c r="H364" s="41"/>
      <c r="I364" s="41"/>
      <c r="J364" s="41">
        <f>565.22+7682.98</f>
        <v>8248.1999999999989</v>
      </c>
      <c r="K364" s="41">
        <v>366.98</v>
      </c>
      <c r="L364" s="41"/>
      <c r="M364" s="41"/>
      <c r="N364" s="41">
        <v>1721.0889999999999</v>
      </c>
      <c r="O364" s="41">
        <v>13994.42</v>
      </c>
      <c r="P364" s="41"/>
      <c r="Q364" s="41">
        <v>22160.400000000001</v>
      </c>
      <c r="R364" s="41"/>
      <c r="S364" s="41"/>
      <c r="T364" s="41">
        <f>1057.73+219</f>
        <v>1276.73</v>
      </c>
      <c r="U364" s="41"/>
      <c r="V364" s="42"/>
      <c r="W364" s="41"/>
      <c r="X364" s="41"/>
      <c r="Y364" s="41"/>
    </row>
    <row r="365" spans="1:25" ht="15.75" customHeight="1" x14ac:dyDescent="0.25">
      <c r="A365" s="13" t="s">
        <v>231</v>
      </c>
      <c r="B365" s="33">
        <v>254544.6</v>
      </c>
      <c r="C365" s="35">
        <f t="shared" si="6"/>
        <v>17769.730000000003</v>
      </c>
      <c r="D365" s="35"/>
      <c r="E365" s="35"/>
      <c r="F365" s="35"/>
      <c r="G365" s="35"/>
      <c r="H365" s="35"/>
      <c r="I365" s="35"/>
      <c r="J365" s="35">
        <v>1839.54</v>
      </c>
      <c r="K365" s="35"/>
      <c r="L365" s="35"/>
      <c r="M365" s="35"/>
      <c r="N365" s="35"/>
      <c r="O365" s="35"/>
      <c r="P365" s="35">
        <v>13467</v>
      </c>
      <c r="Q365" s="35">
        <v>1136.47</v>
      </c>
      <c r="R365" s="35"/>
      <c r="S365" s="35">
        <v>1326.72</v>
      </c>
      <c r="T365" s="35"/>
      <c r="U365" s="35"/>
      <c r="V365" s="36"/>
      <c r="W365" s="35"/>
      <c r="X365" s="35"/>
      <c r="Y365" s="35"/>
    </row>
    <row r="366" spans="1:25" s="7" customFormat="1" ht="15.75" customHeight="1" x14ac:dyDescent="0.25">
      <c r="A366" s="13" t="s">
        <v>232</v>
      </c>
      <c r="B366" s="33">
        <v>319558.68</v>
      </c>
      <c r="C366" s="35">
        <f t="shared" si="6"/>
        <v>131383.79999999999</v>
      </c>
      <c r="D366" s="35">
        <v>13503.65</v>
      </c>
      <c r="E366" s="35"/>
      <c r="F366" s="35"/>
      <c r="G366" s="35"/>
      <c r="H366" s="35"/>
      <c r="I366" s="35"/>
      <c r="J366" s="35">
        <f>3130.2+1503</f>
        <v>4633.2</v>
      </c>
      <c r="K366" s="35"/>
      <c r="L366" s="35">
        <v>9335.6299999999992</v>
      </c>
      <c r="M366" s="35"/>
      <c r="N366" s="35"/>
      <c r="O366" s="35"/>
      <c r="P366" s="35"/>
      <c r="Q366" s="35">
        <f>5638.37+41131.4+23795.7</f>
        <v>70565.47</v>
      </c>
      <c r="R366" s="35"/>
      <c r="S366" s="35">
        <f>1271.6+22870.4+5877.48</f>
        <v>30019.48</v>
      </c>
      <c r="T366" s="35">
        <f>1159.81+377</f>
        <v>1536.81</v>
      </c>
      <c r="U366" s="35">
        <v>1789.56</v>
      </c>
      <c r="V366" s="36"/>
      <c r="W366" s="35"/>
      <c r="X366" s="35"/>
      <c r="Y366" s="35"/>
    </row>
    <row r="367" spans="1:25" s="7" customFormat="1" ht="15.75" customHeight="1" x14ac:dyDescent="0.25">
      <c r="A367" s="13" t="s">
        <v>233</v>
      </c>
      <c r="B367" s="33">
        <v>249954.24</v>
      </c>
      <c r="C367" s="35">
        <f t="shared" si="6"/>
        <v>7586.11</v>
      </c>
      <c r="D367" s="35"/>
      <c r="E367" s="35"/>
      <c r="F367" s="35"/>
      <c r="G367" s="35"/>
      <c r="H367" s="35"/>
      <c r="I367" s="35"/>
      <c r="J367" s="35">
        <v>2797.27</v>
      </c>
      <c r="K367" s="35">
        <f>1129.4+376.48+301</f>
        <v>1806.88</v>
      </c>
      <c r="L367" s="35"/>
      <c r="M367" s="35"/>
      <c r="N367" s="35"/>
      <c r="O367" s="35"/>
      <c r="P367" s="35"/>
      <c r="Q367" s="35">
        <v>1884</v>
      </c>
      <c r="R367" s="35"/>
      <c r="S367" s="35">
        <f>405.96+692</f>
        <v>1097.96</v>
      </c>
      <c r="T367" s="35"/>
      <c r="U367" s="35"/>
      <c r="V367" s="36"/>
      <c r="W367" s="35"/>
      <c r="X367" s="35"/>
      <c r="Y367" s="35"/>
    </row>
    <row r="368" spans="1:25" ht="15.75" customHeight="1" x14ac:dyDescent="0.25">
      <c r="A368" s="13" t="s">
        <v>234</v>
      </c>
      <c r="B368" s="33">
        <v>88227.839999999997</v>
      </c>
      <c r="C368" s="35">
        <f t="shared" si="6"/>
        <v>0</v>
      </c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6"/>
      <c r="W368" s="35"/>
      <c r="X368" s="35"/>
      <c r="Y368" s="35"/>
    </row>
    <row r="369" spans="1:25" s="56" customFormat="1" ht="15.75" customHeight="1" x14ac:dyDescent="0.25">
      <c r="A369" s="13" t="s">
        <v>235</v>
      </c>
      <c r="B369" s="33">
        <v>488217.24</v>
      </c>
      <c r="C369" s="35">
        <f t="shared" si="6"/>
        <v>131142.30000000002</v>
      </c>
      <c r="D369" s="35"/>
      <c r="E369" s="35"/>
      <c r="F369" s="35"/>
      <c r="G369" s="35"/>
      <c r="H369" s="35"/>
      <c r="I369" s="35"/>
      <c r="J369" s="35">
        <f>5701.64+5888.94+3357.82+17542.63</f>
        <v>32491.03</v>
      </c>
      <c r="K369" s="35">
        <v>22602.16</v>
      </c>
      <c r="L369" s="35">
        <v>1900.32</v>
      </c>
      <c r="M369" s="35"/>
      <c r="N369" s="35">
        <v>5055.12</v>
      </c>
      <c r="O369" s="35"/>
      <c r="P369" s="35"/>
      <c r="Q369" s="35">
        <f>2255.35+9444.31</f>
        <v>11699.66</v>
      </c>
      <c r="R369" s="35"/>
      <c r="S369" s="35">
        <f>525.96+4796.5+1382.96</f>
        <v>6705.42</v>
      </c>
      <c r="T369" s="35"/>
      <c r="U369" s="35"/>
      <c r="V369" s="36">
        <v>432.77</v>
      </c>
      <c r="W369" s="35">
        <v>50255.82</v>
      </c>
      <c r="X369" s="35"/>
      <c r="Y369" s="35"/>
    </row>
    <row r="370" spans="1:25" ht="15.75" customHeight="1" x14ac:dyDescent="0.25">
      <c r="A370" s="13" t="s">
        <v>236</v>
      </c>
      <c r="B370" s="33">
        <v>95098.8</v>
      </c>
      <c r="C370" s="35">
        <f t="shared" si="6"/>
        <v>24273.070000000003</v>
      </c>
      <c r="D370" s="35"/>
      <c r="E370" s="35"/>
      <c r="F370" s="35"/>
      <c r="G370" s="35">
        <f>9554.81+229</f>
        <v>9783.81</v>
      </c>
      <c r="H370" s="35"/>
      <c r="I370" s="35"/>
      <c r="J370" s="35">
        <v>6819.02</v>
      </c>
      <c r="K370" s="35">
        <v>366.98</v>
      </c>
      <c r="L370" s="35"/>
      <c r="M370" s="35"/>
      <c r="N370" s="35"/>
      <c r="O370" s="35">
        <v>5242</v>
      </c>
      <c r="P370" s="35"/>
      <c r="Q370" s="35">
        <v>1628.49</v>
      </c>
      <c r="R370" s="35"/>
      <c r="S370" s="35"/>
      <c r="T370" s="35"/>
      <c r="U370" s="35"/>
      <c r="V370" s="36">
        <v>432.77</v>
      </c>
      <c r="W370" s="35"/>
      <c r="X370" s="35"/>
      <c r="Y370" s="35"/>
    </row>
    <row r="371" spans="1:25" s="7" customFormat="1" ht="15.75" customHeight="1" x14ac:dyDescent="0.25">
      <c r="A371" s="13" t="s">
        <v>237</v>
      </c>
      <c r="B371" s="33">
        <v>112527.24</v>
      </c>
      <c r="C371" s="35">
        <f t="shared" si="6"/>
        <v>283300.70999999996</v>
      </c>
      <c r="D371" s="35"/>
      <c r="E371" s="35"/>
      <c r="F371" s="35"/>
      <c r="G371" s="35">
        <v>9451.34</v>
      </c>
      <c r="H371" s="35">
        <v>195791</v>
      </c>
      <c r="I371" s="35"/>
      <c r="J371" s="35">
        <f>1366.37+378.544+994</f>
        <v>2738.9139999999998</v>
      </c>
      <c r="K371" s="35"/>
      <c r="L371" s="35">
        <f>2733.31+1900.32</f>
        <v>4633.63</v>
      </c>
      <c r="M371" s="35"/>
      <c r="N371" s="35">
        <f>10418.8+3361.68</f>
        <v>13780.48</v>
      </c>
      <c r="O371" s="35"/>
      <c r="P371" s="35"/>
      <c r="Q371" s="35">
        <f>4351.38+591.935</f>
        <v>4943.3150000000005</v>
      </c>
      <c r="R371" s="35"/>
      <c r="S371" s="35">
        <v>5915.4</v>
      </c>
      <c r="T371" s="35">
        <f>1633.63+1094</f>
        <v>2727.63</v>
      </c>
      <c r="U371" s="35"/>
      <c r="V371" s="36">
        <v>432.77</v>
      </c>
      <c r="W371" s="35">
        <v>42886.231</v>
      </c>
      <c r="X371" s="35"/>
      <c r="Y371" s="35"/>
    </row>
    <row r="372" spans="1:25" s="7" customFormat="1" ht="15.75" customHeight="1" x14ac:dyDescent="0.25">
      <c r="A372" s="13" t="s">
        <v>238</v>
      </c>
      <c r="B372" s="33">
        <v>186054.96</v>
      </c>
      <c r="C372" s="35">
        <f t="shared" si="6"/>
        <v>44400.94</v>
      </c>
      <c r="D372" s="35"/>
      <c r="E372" s="35"/>
      <c r="F372" s="35"/>
      <c r="G372" s="35"/>
      <c r="H372" s="35"/>
      <c r="I372" s="35"/>
      <c r="J372" s="35">
        <v>1938</v>
      </c>
      <c r="K372" s="35">
        <f>734.22+5434.74</f>
        <v>6168.96</v>
      </c>
      <c r="L372" s="35"/>
      <c r="M372" s="35"/>
      <c r="N372" s="35">
        <v>1447.33</v>
      </c>
      <c r="O372" s="35"/>
      <c r="P372" s="35"/>
      <c r="Q372" s="35">
        <f>10837.04+3639.7+4616.45</f>
        <v>19093.190000000002</v>
      </c>
      <c r="R372" s="35"/>
      <c r="S372" s="35">
        <f>3693.71+691.48</f>
        <v>4385.1900000000005</v>
      </c>
      <c r="T372" s="35"/>
      <c r="U372" s="35">
        <v>10056.5</v>
      </c>
      <c r="V372" s="36">
        <f>432.77+879</f>
        <v>1311.77</v>
      </c>
      <c r="W372" s="35"/>
      <c r="X372" s="35"/>
      <c r="Y372" s="35"/>
    </row>
    <row r="373" spans="1:25" ht="15.75" customHeight="1" x14ac:dyDescent="0.25">
      <c r="A373" s="13" t="s">
        <v>239</v>
      </c>
      <c r="B373" s="33">
        <v>90236.64</v>
      </c>
      <c r="C373" s="35">
        <f t="shared" si="6"/>
        <v>58477.372000000003</v>
      </c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>
        <v>4070.4</v>
      </c>
      <c r="T373" s="35">
        <v>495.91899999999998</v>
      </c>
      <c r="U373" s="35"/>
      <c r="V373" s="36">
        <v>1081.163</v>
      </c>
      <c r="W373" s="35"/>
      <c r="X373" s="35">
        <v>52829.89</v>
      </c>
      <c r="Y373" s="35"/>
    </row>
    <row r="374" spans="1:25" ht="15.75" customHeight="1" x14ac:dyDescent="0.25">
      <c r="A374" s="13" t="s">
        <v>240</v>
      </c>
      <c r="B374" s="33">
        <v>142760.64000000001</v>
      </c>
      <c r="C374" s="35">
        <f t="shared" si="6"/>
        <v>104029.85</v>
      </c>
      <c r="D374" s="35"/>
      <c r="E374" s="35"/>
      <c r="F374" s="35"/>
      <c r="G374" s="35"/>
      <c r="H374" s="35"/>
      <c r="I374" s="35"/>
      <c r="J374" s="35">
        <v>989.71</v>
      </c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6"/>
      <c r="W374" s="35"/>
      <c r="X374" s="35">
        <v>103040.14</v>
      </c>
      <c r="Y374" s="35"/>
    </row>
    <row r="375" spans="1:25" s="7" customFormat="1" ht="15.75" customHeight="1" x14ac:dyDescent="0.25">
      <c r="A375" s="13" t="s">
        <v>241</v>
      </c>
      <c r="B375" s="33">
        <v>186883.8</v>
      </c>
      <c r="C375" s="35">
        <f t="shared" si="6"/>
        <v>399786.63</v>
      </c>
      <c r="D375" s="35">
        <v>1433.48</v>
      </c>
      <c r="E375" s="35"/>
      <c r="F375" s="35"/>
      <c r="G375" s="35">
        <f>273207.361+9451.34</f>
        <v>282658.701</v>
      </c>
      <c r="H375" s="35"/>
      <c r="I375" s="35"/>
      <c r="J375" s="35">
        <f>294.59+378.544</f>
        <v>673.13400000000001</v>
      </c>
      <c r="K375" s="35">
        <v>1505.9</v>
      </c>
      <c r="L375" s="35">
        <v>2357.3200000000002</v>
      </c>
      <c r="M375" s="35"/>
      <c r="N375" s="35"/>
      <c r="O375" s="35"/>
      <c r="P375" s="35"/>
      <c r="Q375" s="35"/>
      <c r="R375" s="35"/>
      <c r="S375" s="35"/>
      <c r="T375" s="35"/>
      <c r="U375" s="35">
        <v>1287</v>
      </c>
      <c r="V375" s="36">
        <f>1636.61+843.995+2953.2</f>
        <v>5433.8050000000003</v>
      </c>
      <c r="W375" s="35"/>
      <c r="X375" s="35">
        <v>104437.29</v>
      </c>
      <c r="Y375" s="35"/>
    </row>
    <row r="376" spans="1:25" s="7" customFormat="1" ht="15.75" customHeight="1" x14ac:dyDescent="0.25">
      <c r="A376" s="13" t="s">
        <v>242</v>
      </c>
      <c r="B376" s="33">
        <v>453780.47999999998</v>
      </c>
      <c r="C376" s="35">
        <f t="shared" si="6"/>
        <v>524130.35399999993</v>
      </c>
      <c r="D376" s="35"/>
      <c r="E376" s="35"/>
      <c r="F376" s="35"/>
      <c r="G376" s="35">
        <v>592.84</v>
      </c>
      <c r="H376" s="35"/>
      <c r="I376" s="35"/>
      <c r="J376" s="35">
        <v>2664.11</v>
      </c>
      <c r="K376" s="35">
        <v>376.47899999999998</v>
      </c>
      <c r="L376" s="35">
        <f>125287+2000+69014.17</f>
        <v>196301.16999999998</v>
      </c>
      <c r="M376" s="35"/>
      <c r="N376" s="35"/>
      <c r="O376" s="35"/>
      <c r="P376" s="35"/>
      <c r="Q376" s="35">
        <f>3293.85+2066.015+477</f>
        <v>5836.8649999999998</v>
      </c>
      <c r="R376" s="35">
        <v>3999.16</v>
      </c>
      <c r="S376" s="35"/>
      <c r="T376" s="35"/>
      <c r="U376" s="35"/>
      <c r="V376" s="36"/>
      <c r="W376" s="35"/>
      <c r="X376" s="35">
        <v>314359.73</v>
      </c>
      <c r="Y376" s="35"/>
    </row>
    <row r="377" spans="1:25" s="7" customFormat="1" ht="15.75" customHeight="1" x14ac:dyDescent="0.25">
      <c r="A377" s="13" t="s">
        <v>243</v>
      </c>
      <c r="B377" s="33">
        <v>685102.8</v>
      </c>
      <c r="C377" s="35">
        <f t="shared" si="6"/>
        <v>36112.399999999994</v>
      </c>
      <c r="D377" s="35"/>
      <c r="E377" s="35"/>
      <c r="F377" s="35"/>
      <c r="G377" s="35"/>
      <c r="H377" s="35"/>
      <c r="I377" s="35"/>
      <c r="J377" s="35">
        <f>11778+7484.22</f>
        <v>19262.22</v>
      </c>
      <c r="K377" s="35">
        <f>376.48+9885.64+776</f>
        <v>11038.119999999999</v>
      </c>
      <c r="L377" s="35"/>
      <c r="M377" s="35"/>
      <c r="N377" s="35"/>
      <c r="O377" s="35"/>
      <c r="P377" s="35"/>
      <c r="Q377" s="35">
        <v>2372.94</v>
      </c>
      <c r="R377" s="35"/>
      <c r="S377" s="35">
        <v>345.74</v>
      </c>
      <c r="T377" s="35">
        <v>2545.02</v>
      </c>
      <c r="U377" s="35">
        <v>548.36</v>
      </c>
      <c r="V377" s="36"/>
      <c r="W377" s="35"/>
      <c r="X377" s="35"/>
      <c r="Y377" s="35"/>
    </row>
    <row r="378" spans="1:25" s="56" customFormat="1" ht="15.75" customHeight="1" x14ac:dyDescent="0.25">
      <c r="A378" s="13" t="s">
        <v>244</v>
      </c>
      <c r="B378" s="33">
        <v>161373</v>
      </c>
      <c r="C378" s="35">
        <f t="shared" si="6"/>
        <v>49260.710999999996</v>
      </c>
      <c r="D378" s="35"/>
      <c r="E378" s="35"/>
      <c r="F378" s="35"/>
      <c r="G378" s="35"/>
      <c r="H378" s="35"/>
      <c r="I378" s="35"/>
      <c r="J378" s="35">
        <v>901.33100000000002</v>
      </c>
      <c r="K378" s="35">
        <f>376.48+376.479</f>
        <v>752.95900000000006</v>
      </c>
      <c r="L378" s="35">
        <v>2333.91</v>
      </c>
      <c r="M378" s="35"/>
      <c r="N378" s="35"/>
      <c r="O378" s="35">
        <v>4896.76</v>
      </c>
      <c r="P378" s="35"/>
      <c r="Q378" s="35">
        <v>1966</v>
      </c>
      <c r="R378" s="35"/>
      <c r="S378" s="35"/>
      <c r="T378" s="35">
        <f>6091.75+3658</f>
        <v>9749.75</v>
      </c>
      <c r="U378" s="35">
        <f>24771.3+112.253</f>
        <v>24883.553</v>
      </c>
      <c r="V378" s="36">
        <v>3776.4479999999999</v>
      </c>
      <c r="W378" s="35"/>
      <c r="X378" s="35"/>
      <c r="Y378" s="35"/>
    </row>
    <row r="379" spans="1:25" ht="15.75" customHeight="1" x14ac:dyDescent="0.25">
      <c r="A379" s="12" t="s">
        <v>245</v>
      </c>
      <c r="B379" s="33">
        <v>107831.88</v>
      </c>
      <c r="C379" s="35">
        <f t="shared" si="6"/>
        <v>448167.00900000002</v>
      </c>
      <c r="D379" s="35"/>
      <c r="E379" s="35"/>
      <c r="F379" s="35">
        <v>390143</v>
      </c>
      <c r="G379" s="35"/>
      <c r="H379" s="35"/>
      <c r="I379" s="35"/>
      <c r="J379" s="35">
        <f>523+1130.51</f>
        <v>1653.51</v>
      </c>
      <c r="K379" s="35"/>
      <c r="L379" s="35"/>
      <c r="M379" s="35"/>
      <c r="N379" s="35">
        <v>1246.6790000000001</v>
      </c>
      <c r="O379" s="35"/>
      <c r="P379" s="35"/>
      <c r="Q379" s="35">
        <v>1770</v>
      </c>
      <c r="R379" s="35"/>
      <c r="S379" s="35"/>
      <c r="T379" s="35"/>
      <c r="U379" s="35"/>
      <c r="V379" s="36"/>
      <c r="W379" s="35"/>
      <c r="X379" s="35">
        <v>53353.82</v>
      </c>
      <c r="Y379" s="35"/>
    </row>
    <row r="380" spans="1:25" ht="15.75" customHeight="1" x14ac:dyDescent="0.25">
      <c r="A380" s="13" t="s">
        <v>246</v>
      </c>
      <c r="B380" s="33">
        <v>169793.88</v>
      </c>
      <c r="C380" s="35">
        <f t="shared" si="6"/>
        <v>1526.92</v>
      </c>
      <c r="D380" s="35"/>
      <c r="E380" s="35"/>
      <c r="F380" s="35"/>
      <c r="G380" s="35"/>
      <c r="H380" s="35"/>
      <c r="I380" s="35"/>
      <c r="J380" s="35">
        <v>1159.94</v>
      </c>
      <c r="K380" s="35">
        <v>366.98</v>
      </c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6"/>
      <c r="W380" s="35"/>
      <c r="X380" s="35"/>
      <c r="Y380" s="35"/>
    </row>
    <row r="381" spans="1:25" s="7" customFormat="1" ht="14.25" customHeight="1" x14ac:dyDescent="0.25">
      <c r="A381" s="13" t="s">
        <v>247</v>
      </c>
      <c r="B381" s="33">
        <v>464815.32</v>
      </c>
      <c r="C381" s="35">
        <f t="shared" si="6"/>
        <v>1108809.8339999998</v>
      </c>
      <c r="D381" s="35">
        <v>165988.29999999999</v>
      </c>
      <c r="E381" s="35"/>
      <c r="F381" s="35">
        <v>243730</v>
      </c>
      <c r="G381" s="35">
        <f>63142.6+16207.05+181097</f>
        <v>260446.65</v>
      </c>
      <c r="H381" s="35"/>
      <c r="I381" s="35"/>
      <c r="J381" s="35">
        <f>4630+3417.33+5499.76+549.05</f>
        <v>14096.14</v>
      </c>
      <c r="K381" s="35">
        <v>592.87</v>
      </c>
      <c r="L381" s="35">
        <f>130023+1767.99</f>
        <v>131790.99</v>
      </c>
      <c r="M381" s="35">
        <v>4630.6400000000003</v>
      </c>
      <c r="N381" s="35">
        <f>6014.14+20681.3054+643.3006+620.28</f>
        <v>27959.025999999998</v>
      </c>
      <c r="O381" s="35"/>
      <c r="P381" s="35">
        <v>582.91999999999996</v>
      </c>
      <c r="Q381" s="35">
        <f>14990.9+13261.67</f>
        <v>28252.57</v>
      </c>
      <c r="R381" s="35"/>
      <c r="S381" s="35">
        <f>1173.47+691.48</f>
        <v>1864.95</v>
      </c>
      <c r="T381" s="35">
        <v>2319.62</v>
      </c>
      <c r="U381" s="35">
        <f>9138.22+1100.94</f>
        <v>10239.16</v>
      </c>
      <c r="V381" s="36">
        <v>3776.4479999999999</v>
      </c>
      <c r="W381" s="35"/>
      <c r="X381" s="35">
        <v>217170.19</v>
      </c>
      <c r="Y381" s="35"/>
    </row>
    <row r="382" spans="1:25" s="7" customFormat="1" ht="15.75" customHeight="1" x14ac:dyDescent="0.25">
      <c r="A382" s="13" t="s">
        <v>248</v>
      </c>
      <c r="B382" s="33">
        <v>800195.76</v>
      </c>
      <c r="C382" s="35">
        <f t="shared" si="6"/>
        <v>473374.86</v>
      </c>
      <c r="D382" s="35">
        <v>12105.29</v>
      </c>
      <c r="E382" s="35"/>
      <c r="F382" s="35"/>
      <c r="G382" s="35">
        <f>627.68+121959</f>
        <v>122586.68</v>
      </c>
      <c r="H382" s="35"/>
      <c r="I382" s="35"/>
      <c r="J382" s="35">
        <f>2613.74+2339.94</f>
        <v>4953.68</v>
      </c>
      <c r="K382" s="35">
        <f>13970.2+776</f>
        <v>14746.2</v>
      </c>
      <c r="L382" s="35">
        <f>8579.17+7608.51</f>
        <v>16187.68</v>
      </c>
      <c r="M382" s="35"/>
      <c r="N382" s="35">
        <v>704.57799999999997</v>
      </c>
      <c r="O382" s="35">
        <v>20275.400000000001</v>
      </c>
      <c r="P382" s="35"/>
      <c r="Q382" s="35">
        <f>5823.52+7848.99+14148.55+14739.91+2977.14</f>
        <v>45538.11</v>
      </c>
      <c r="R382" s="35"/>
      <c r="S382" s="35">
        <v>625</v>
      </c>
      <c r="T382" s="35"/>
      <c r="U382" s="35">
        <v>2036.1</v>
      </c>
      <c r="V382" s="36">
        <f>432.77+2217.491+1207.801</f>
        <v>3858.0619999999999</v>
      </c>
      <c r="W382" s="35"/>
      <c r="X382" s="35">
        <v>225815.08</v>
      </c>
      <c r="Y382" s="35">
        <v>3943</v>
      </c>
    </row>
    <row r="383" spans="1:25" ht="15.75" customHeight="1" x14ac:dyDescent="0.25">
      <c r="A383" s="13" t="s">
        <v>249</v>
      </c>
      <c r="B383" s="33">
        <v>84939.12</v>
      </c>
      <c r="C383" s="35">
        <f t="shared" si="6"/>
        <v>20264.730000000003</v>
      </c>
      <c r="D383" s="35">
        <v>12205.72</v>
      </c>
      <c r="E383" s="35"/>
      <c r="F383" s="35"/>
      <c r="G383" s="35">
        <f>548.11+767.35</f>
        <v>1315.46</v>
      </c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>
        <v>2881.15</v>
      </c>
      <c r="U383" s="35"/>
      <c r="V383" s="36">
        <v>3862.4</v>
      </c>
      <c r="W383" s="35"/>
      <c r="X383" s="35"/>
      <c r="Y383" s="35"/>
    </row>
    <row r="386" spans="1:3" ht="15.5" x14ac:dyDescent="0.35">
      <c r="A386" s="61" t="s">
        <v>405</v>
      </c>
      <c r="B386" s="62"/>
      <c r="C386" s="62" t="s">
        <v>406</v>
      </c>
    </row>
    <row r="388" spans="1:3" x14ac:dyDescent="0.35">
      <c r="A388" t="s">
        <v>407</v>
      </c>
    </row>
    <row r="389" spans="1:3" x14ac:dyDescent="0.35">
      <c r="A389" t="s">
        <v>408</v>
      </c>
    </row>
  </sheetData>
  <autoFilter ref="A12:Y383"/>
  <mergeCells count="1">
    <mergeCell ref="A9:Y9"/>
  </mergeCells>
  <phoneticPr fontId="36" type="noConversion"/>
  <pageMargins left="1.299212598425197" right="0.70866141732283472" top="0.74803149606299213" bottom="0.74803149606299213" header="0.31496062992125984" footer="0.31496062992125984"/>
  <pageSetup paperSize="9" scale="10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83"/>
  <sheetViews>
    <sheetView tabSelected="1" workbookViewId="0">
      <selection activeCell="I8" sqref="I8"/>
    </sheetView>
  </sheetViews>
  <sheetFormatPr defaultRowHeight="14.5" x14ac:dyDescent="0.35"/>
  <cols>
    <col min="1" max="1" width="30" customWidth="1"/>
    <col min="2" max="2" width="10.26953125" customWidth="1"/>
    <col min="3" max="3" width="14.81640625" customWidth="1"/>
    <col min="46" max="47" width="0" hidden="1" customWidth="1"/>
  </cols>
  <sheetData>
    <row r="1" spans="1:47" ht="15" x14ac:dyDescent="0.25">
      <c r="I1" s="9"/>
      <c r="J1" s="9"/>
    </row>
    <row r="2" spans="1:47" ht="15" x14ac:dyDescent="0.25">
      <c r="I2" s="9"/>
      <c r="J2" s="9"/>
    </row>
    <row r="3" spans="1:47" ht="15.5" x14ac:dyDescent="0.35">
      <c r="I3" s="9"/>
      <c r="J3" s="9"/>
      <c r="AM3" s="24"/>
      <c r="AN3" s="24"/>
      <c r="AO3" s="24"/>
      <c r="AP3" s="24"/>
      <c r="AQ3" s="24"/>
      <c r="AR3" s="24"/>
      <c r="AS3" s="25"/>
      <c r="AT3" s="25"/>
      <c r="AU3" s="26" t="s">
        <v>397</v>
      </c>
    </row>
    <row r="4" spans="1:47" ht="15.5" x14ac:dyDescent="0.35">
      <c r="I4" s="9"/>
      <c r="J4" s="9"/>
      <c r="AM4" s="24"/>
      <c r="AN4" s="24"/>
      <c r="AO4" s="24"/>
      <c r="AP4" s="24"/>
      <c r="AQ4" s="24"/>
      <c r="AR4" s="24"/>
      <c r="AS4" s="25"/>
      <c r="AT4" s="25"/>
      <c r="AU4" s="27" t="s">
        <v>398</v>
      </c>
    </row>
    <row r="5" spans="1:47" ht="15.5" x14ac:dyDescent="0.35">
      <c r="I5" s="9"/>
      <c r="J5" s="9"/>
      <c r="AM5" s="24"/>
      <c r="AN5" s="24"/>
      <c r="AO5" s="24"/>
      <c r="AP5" s="24"/>
      <c r="AQ5" s="24"/>
      <c r="AR5" s="24"/>
      <c r="AS5" s="25"/>
      <c r="AT5" s="25"/>
      <c r="AU5" s="27" t="s">
        <v>399</v>
      </c>
    </row>
    <row r="6" spans="1:47" ht="21" x14ac:dyDescent="0.5">
      <c r="I6" s="9"/>
      <c r="J6" s="9"/>
      <c r="AM6" s="28"/>
      <c r="AN6" s="28"/>
      <c r="AO6" s="28"/>
      <c r="AP6" s="28"/>
      <c r="AQ6" s="28"/>
      <c r="AR6" s="28"/>
      <c r="AS6" s="29"/>
      <c r="AT6" s="29"/>
      <c r="AU6" s="27" t="s">
        <v>400</v>
      </c>
    </row>
    <row r="7" spans="1:47" ht="15" x14ac:dyDescent="0.25">
      <c r="I7" s="9"/>
      <c r="J7" s="9"/>
    </row>
    <row r="8" spans="1:47" x14ac:dyDescent="0.35">
      <c r="I8" s="9"/>
      <c r="J8" s="9"/>
    </row>
    <row r="9" spans="1:47" ht="33.75" customHeight="1" x14ac:dyDescent="0.45">
      <c r="B9" s="65"/>
      <c r="C9" s="65" t="s">
        <v>418</v>
      </c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</row>
    <row r="10" spans="1:47" x14ac:dyDescent="0.35">
      <c r="I10" s="9"/>
      <c r="J10" s="9"/>
    </row>
    <row r="11" spans="1:47" x14ac:dyDescent="0.35">
      <c r="A11" s="48"/>
      <c r="B11" s="30"/>
      <c r="C11" s="66" t="s">
        <v>149</v>
      </c>
      <c r="D11" s="66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6"/>
      <c r="R11" s="66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6"/>
      <c r="AT11" s="66"/>
      <c r="AU11" s="68"/>
    </row>
    <row r="12" spans="1:47" ht="117" x14ac:dyDescent="0.35">
      <c r="A12" s="49" t="s">
        <v>0</v>
      </c>
      <c r="B12" s="31" t="s">
        <v>401</v>
      </c>
      <c r="C12" s="2" t="s">
        <v>395</v>
      </c>
      <c r="D12" s="3" t="s">
        <v>410</v>
      </c>
      <c r="E12" s="3" t="s">
        <v>167</v>
      </c>
      <c r="F12" s="3" t="s">
        <v>411</v>
      </c>
      <c r="G12" s="3" t="s">
        <v>166</v>
      </c>
      <c r="H12" s="3" t="s">
        <v>412</v>
      </c>
      <c r="I12" s="16" t="s">
        <v>392</v>
      </c>
      <c r="J12" s="4" t="s">
        <v>411</v>
      </c>
      <c r="K12" s="4" t="s">
        <v>168</v>
      </c>
      <c r="L12" s="4" t="s">
        <v>413</v>
      </c>
      <c r="M12" s="4" t="s">
        <v>169</v>
      </c>
      <c r="N12" s="4" t="s">
        <v>414</v>
      </c>
      <c r="O12" s="4" t="s">
        <v>170</v>
      </c>
      <c r="P12" s="4" t="s">
        <v>415</v>
      </c>
      <c r="Q12" s="4" t="s">
        <v>185</v>
      </c>
      <c r="R12" s="4" t="s">
        <v>415</v>
      </c>
      <c r="S12" s="4" t="s">
        <v>171</v>
      </c>
      <c r="T12" s="4" t="s">
        <v>415</v>
      </c>
      <c r="U12" s="5" t="s">
        <v>172</v>
      </c>
      <c r="V12" s="4" t="s">
        <v>413</v>
      </c>
      <c r="W12" s="5" t="s">
        <v>391</v>
      </c>
      <c r="X12" s="4" t="s">
        <v>413</v>
      </c>
      <c r="Y12" s="5" t="s">
        <v>184</v>
      </c>
      <c r="Z12" s="4" t="s">
        <v>413</v>
      </c>
      <c r="AA12" s="5" t="s">
        <v>183</v>
      </c>
      <c r="AB12" s="4" t="s">
        <v>413</v>
      </c>
      <c r="AC12" s="5" t="s">
        <v>182</v>
      </c>
      <c r="AD12" s="5" t="s">
        <v>416</v>
      </c>
      <c r="AE12" s="5" t="s">
        <v>181</v>
      </c>
      <c r="AF12" s="5" t="s">
        <v>415</v>
      </c>
      <c r="AG12" s="5" t="s">
        <v>180</v>
      </c>
      <c r="AH12" s="5" t="s">
        <v>415</v>
      </c>
      <c r="AI12" s="5" t="s">
        <v>179</v>
      </c>
      <c r="AJ12" s="5" t="s">
        <v>416</v>
      </c>
      <c r="AK12" s="5" t="s">
        <v>178</v>
      </c>
      <c r="AL12" s="5" t="s">
        <v>415</v>
      </c>
      <c r="AM12" s="5" t="s">
        <v>177</v>
      </c>
      <c r="AN12" s="5" t="s">
        <v>415</v>
      </c>
      <c r="AO12" s="5" t="s">
        <v>176</v>
      </c>
      <c r="AP12" s="6" t="s">
        <v>417</v>
      </c>
      <c r="AQ12" s="6" t="s">
        <v>404</v>
      </c>
      <c r="AR12" s="6" t="s">
        <v>409</v>
      </c>
      <c r="AS12" s="1" t="s">
        <v>174</v>
      </c>
      <c r="AT12" s="1"/>
      <c r="AU12" s="1" t="s">
        <v>173</v>
      </c>
    </row>
    <row r="13" spans="1:47" s="7" customFormat="1" ht="15.75" customHeight="1" x14ac:dyDescent="0.35">
      <c r="A13" s="17" t="s">
        <v>250</v>
      </c>
      <c r="B13" s="32">
        <v>554250.23999999999</v>
      </c>
      <c r="C13" s="35">
        <f t="shared" ref="C13:C76" si="0">E13+G13+K13+M13+O13+Q13+S13+U13+Y13+AA13+AC13+AE13+AG13+AI13+AK13+AM13+AO13+AQ13+AS13+AU13+I13</f>
        <v>149868.49899999998</v>
      </c>
      <c r="D13" s="35">
        <v>6</v>
      </c>
      <c r="E13" s="35">
        <v>3463.1</v>
      </c>
      <c r="F13" s="35"/>
      <c r="G13" s="35"/>
      <c r="H13" s="35"/>
      <c r="I13" s="35"/>
      <c r="J13" s="35">
        <v>12</v>
      </c>
      <c r="K13" s="35">
        <f>1052.54+872.34</f>
        <v>1924.88</v>
      </c>
      <c r="L13" s="35"/>
      <c r="M13" s="35"/>
      <c r="N13" s="35"/>
      <c r="O13" s="35"/>
      <c r="P13" s="35">
        <f>12+15</f>
        <v>27</v>
      </c>
      <c r="Q13" s="35">
        <f>2589+6453.27+865.55+6677</f>
        <v>16584.82</v>
      </c>
      <c r="R13" s="35">
        <v>1</v>
      </c>
      <c r="S13" s="35">
        <v>376.47899999999998</v>
      </c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>
        <v>28</v>
      </c>
      <c r="AE13" s="35">
        <f>11846.88+3757.69+22084.99+4258.95</f>
        <v>41948.509999999995</v>
      </c>
      <c r="AF13" s="35">
        <v>3</v>
      </c>
      <c r="AG13" s="35">
        <f>6460.13+4353.5</f>
        <v>10813.630000000001</v>
      </c>
      <c r="AH13" s="35"/>
      <c r="AI13" s="35"/>
      <c r="AJ13" s="35"/>
      <c r="AK13" s="35"/>
      <c r="AL13" s="35">
        <f>4+4</f>
        <v>8</v>
      </c>
      <c r="AM13" s="35">
        <f>1527.07+629.28+2036.1</f>
        <v>4192.45</v>
      </c>
      <c r="AN13" s="36">
        <v>2</v>
      </c>
      <c r="AO13" s="36">
        <f>1931.2+1931.2</f>
        <v>3862.4</v>
      </c>
      <c r="AP13" s="36"/>
      <c r="AQ13" s="35">
        <v>62759.23</v>
      </c>
      <c r="AR13" s="35"/>
      <c r="AS13" s="35"/>
      <c r="AT13" s="35"/>
      <c r="AU13" s="35">
        <v>3943</v>
      </c>
    </row>
    <row r="14" spans="1:47" s="7" customFormat="1" ht="15.75" customHeight="1" x14ac:dyDescent="0.35">
      <c r="A14" s="12" t="s">
        <v>4</v>
      </c>
      <c r="B14" s="33">
        <v>348305.47</v>
      </c>
      <c r="C14" s="35">
        <f t="shared" si="0"/>
        <v>193297.45</v>
      </c>
      <c r="D14" s="35"/>
      <c r="E14" s="35"/>
      <c r="F14" s="35"/>
      <c r="G14" s="35"/>
      <c r="H14" s="35"/>
      <c r="I14" s="35"/>
      <c r="J14" s="35">
        <v>5</v>
      </c>
      <c r="K14" s="35">
        <v>4233.99</v>
      </c>
      <c r="L14" s="35"/>
      <c r="M14" s="35"/>
      <c r="N14" s="35"/>
      <c r="O14" s="35"/>
      <c r="P14" s="35">
        <v>7</v>
      </c>
      <c r="Q14" s="35">
        <v>2658.35</v>
      </c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>
        <v>7</v>
      </c>
      <c r="AE14" s="35">
        <v>3735</v>
      </c>
      <c r="AF14" s="35"/>
      <c r="AG14" s="35"/>
      <c r="AH14" s="35">
        <v>1</v>
      </c>
      <c r="AI14" s="35">
        <v>346</v>
      </c>
      <c r="AJ14" s="35"/>
      <c r="AK14" s="35">
        <v>2</v>
      </c>
      <c r="AL14" s="35">
        <v>2246</v>
      </c>
      <c r="AM14" s="35"/>
      <c r="AN14" s="36">
        <v>4</v>
      </c>
      <c r="AO14" s="36">
        <v>865.52</v>
      </c>
      <c r="AP14" s="36"/>
      <c r="AQ14" s="35"/>
      <c r="AR14" s="35">
        <v>33</v>
      </c>
      <c r="AS14" s="35">
        <v>181456.59</v>
      </c>
      <c r="AT14" s="35"/>
      <c r="AU14" s="35"/>
    </row>
    <row r="15" spans="1:47" s="7" customFormat="1" ht="15.75" customHeight="1" x14ac:dyDescent="0.35">
      <c r="A15" s="12" t="s">
        <v>251</v>
      </c>
      <c r="B15" s="33">
        <v>61793.31</v>
      </c>
      <c r="C15" s="35">
        <f t="shared" si="0"/>
        <v>69640.34</v>
      </c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>
        <v>12</v>
      </c>
      <c r="Q15" s="35">
        <v>4874</v>
      </c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>
        <v>1</v>
      </c>
      <c r="AI15" s="35">
        <v>689.7</v>
      </c>
      <c r="AJ15" s="35">
        <f>11.5+17</f>
        <v>28.5</v>
      </c>
      <c r="AK15" s="35">
        <f>2652.83+4238.44</f>
        <v>6891.2699999999995</v>
      </c>
      <c r="AL15" s="35">
        <v>16</v>
      </c>
      <c r="AM15" s="35">
        <v>1319.66</v>
      </c>
      <c r="AN15" s="36">
        <v>2</v>
      </c>
      <c r="AO15" s="36">
        <v>865.52</v>
      </c>
      <c r="AP15" s="36"/>
      <c r="AQ15" s="35"/>
      <c r="AR15" s="35">
        <v>10</v>
      </c>
      <c r="AS15" s="35">
        <v>55000.19</v>
      </c>
      <c r="AT15" s="35"/>
      <c r="AU15" s="35"/>
    </row>
    <row r="16" spans="1:47" s="7" customFormat="1" ht="15.5" x14ac:dyDescent="0.35">
      <c r="A16" s="13" t="s">
        <v>252</v>
      </c>
      <c r="B16" s="33">
        <v>168564</v>
      </c>
      <c r="C16" s="35">
        <f t="shared" si="0"/>
        <v>46306.83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>
        <v>4</v>
      </c>
      <c r="S16" s="35">
        <f>766+752.95</f>
        <v>1518.95</v>
      </c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>
        <v>2</v>
      </c>
      <c r="AE16" s="35">
        <f>27587.8+2547</f>
        <v>30134.799999999999</v>
      </c>
      <c r="AF16" s="35"/>
      <c r="AG16" s="35"/>
      <c r="AH16" s="35">
        <v>5</v>
      </c>
      <c r="AI16" s="35">
        <f>4885.4+525</f>
        <v>5410.4</v>
      </c>
      <c r="AJ16" s="35"/>
      <c r="AK16" s="35"/>
      <c r="AL16" s="35">
        <v>6</v>
      </c>
      <c r="AM16" s="35">
        <v>8114.62</v>
      </c>
      <c r="AN16" s="36">
        <v>1</v>
      </c>
      <c r="AO16" s="36">
        <v>1128.06</v>
      </c>
      <c r="AP16" s="36"/>
      <c r="AQ16" s="35"/>
      <c r="AR16" s="35"/>
      <c r="AS16" s="35"/>
      <c r="AT16" s="35"/>
      <c r="AU16" s="35"/>
    </row>
    <row r="17" spans="1:47" s="7" customFormat="1" ht="15.75" customHeight="1" x14ac:dyDescent="0.35">
      <c r="A17" s="12" t="s">
        <v>164</v>
      </c>
      <c r="B17" s="33">
        <v>23097.119999999999</v>
      </c>
      <c r="C17" s="35">
        <f t="shared" si="0"/>
        <v>106684.18000000001</v>
      </c>
      <c r="D17" s="35"/>
      <c r="E17" s="35"/>
      <c r="F17" s="35"/>
      <c r="G17" s="35"/>
      <c r="H17" s="35"/>
      <c r="I17" s="35"/>
      <c r="J17" s="35">
        <v>14</v>
      </c>
      <c r="K17" s="35">
        <f>3818.11+78521.25+7540.8+845</f>
        <v>90725.16</v>
      </c>
      <c r="L17" s="35"/>
      <c r="M17" s="35"/>
      <c r="N17" s="35"/>
      <c r="O17" s="35"/>
      <c r="P17" s="35">
        <v>19</v>
      </c>
      <c r="Q17" s="35">
        <v>4506</v>
      </c>
      <c r="R17" s="35"/>
      <c r="S17" s="35"/>
      <c r="T17" s="35"/>
      <c r="U17" s="35"/>
      <c r="V17" s="35"/>
      <c r="W17" s="35"/>
      <c r="X17" s="35">
        <v>8</v>
      </c>
      <c r="Y17" s="35">
        <v>4864</v>
      </c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>
        <v>23</v>
      </c>
      <c r="AK17" s="35">
        <v>1936.76</v>
      </c>
      <c r="AL17" s="35">
        <v>7</v>
      </c>
      <c r="AM17" s="35">
        <v>2480.4899999999998</v>
      </c>
      <c r="AN17" s="36">
        <v>3</v>
      </c>
      <c r="AO17" s="36">
        <f>432.77+1739</f>
        <v>2171.77</v>
      </c>
      <c r="AP17" s="36"/>
      <c r="AQ17" s="35"/>
      <c r="AR17" s="35"/>
      <c r="AS17" s="35"/>
      <c r="AT17" s="35"/>
      <c r="AU17" s="35"/>
    </row>
    <row r="18" spans="1:47" s="7" customFormat="1" ht="15.75" customHeight="1" x14ac:dyDescent="0.35">
      <c r="A18" s="13" t="s">
        <v>165</v>
      </c>
      <c r="B18" s="33">
        <v>349344.84</v>
      </c>
      <c r="C18" s="35">
        <f t="shared" si="0"/>
        <v>27115.668999999998</v>
      </c>
      <c r="D18" s="35"/>
      <c r="E18" s="35"/>
      <c r="F18" s="35"/>
      <c r="G18" s="35"/>
      <c r="H18" s="35"/>
      <c r="I18" s="35"/>
      <c r="J18" s="35">
        <f>15.5+6</f>
        <v>21.5</v>
      </c>
      <c r="K18" s="35">
        <f>1413.77+654.26</f>
        <v>2068.0299999999997</v>
      </c>
      <c r="L18" s="35"/>
      <c r="M18" s="35"/>
      <c r="N18" s="35"/>
      <c r="O18" s="35"/>
      <c r="P18" s="35">
        <v>1</v>
      </c>
      <c r="Q18" s="35">
        <v>457</v>
      </c>
      <c r="R18" s="35">
        <v>3</v>
      </c>
      <c r="S18" s="35">
        <f>2167.8+376.48+367.479</f>
        <v>2911.759</v>
      </c>
      <c r="T18" s="35">
        <v>3</v>
      </c>
      <c r="U18" s="35">
        <v>1795</v>
      </c>
      <c r="V18" s="35"/>
      <c r="W18" s="35"/>
      <c r="X18" s="35"/>
      <c r="Y18" s="35"/>
      <c r="Z18" s="35"/>
      <c r="AA18" s="35"/>
      <c r="AB18" s="35"/>
      <c r="AC18" s="35"/>
      <c r="AD18" s="35">
        <f>4+5.5</f>
        <v>9.5</v>
      </c>
      <c r="AE18" s="35">
        <f>12329.56+4414</f>
        <v>16743.559999999998</v>
      </c>
      <c r="AF18" s="35"/>
      <c r="AG18" s="35"/>
      <c r="AH18" s="35">
        <v>1</v>
      </c>
      <c r="AI18" s="35">
        <v>449.54</v>
      </c>
      <c r="AJ18" s="35"/>
      <c r="AK18" s="35"/>
      <c r="AL18" s="35">
        <v>1</v>
      </c>
      <c r="AM18" s="35">
        <v>2690.78</v>
      </c>
      <c r="AN18" s="36"/>
      <c r="AO18" s="36"/>
      <c r="AP18" s="36"/>
      <c r="AQ18" s="35"/>
      <c r="AR18" s="35"/>
      <c r="AS18" s="35"/>
      <c r="AT18" s="35"/>
      <c r="AU18" s="35"/>
    </row>
    <row r="19" spans="1:47" s="7" customFormat="1" ht="15.5" x14ac:dyDescent="0.35">
      <c r="A19" s="13" t="s">
        <v>253</v>
      </c>
      <c r="B19" s="33">
        <v>351658.08</v>
      </c>
      <c r="C19" s="35">
        <f t="shared" si="0"/>
        <v>54534.7664</v>
      </c>
      <c r="D19" s="35"/>
      <c r="E19" s="35"/>
      <c r="F19" s="35"/>
      <c r="G19" s="35"/>
      <c r="H19" s="35"/>
      <c r="I19" s="35"/>
      <c r="J19" s="35">
        <f>7.5+9</f>
        <v>16.5</v>
      </c>
      <c r="K19" s="35">
        <f>563.23+3109.9844+657.732</f>
        <v>4330.9463999999998</v>
      </c>
      <c r="L19" s="35"/>
      <c r="M19" s="35"/>
      <c r="N19" s="35"/>
      <c r="O19" s="35"/>
      <c r="P19" s="35">
        <f>5+48</f>
        <v>53</v>
      </c>
      <c r="Q19" s="35">
        <f>676+1265.66+21558.3+157.65+2056</f>
        <v>25713.61</v>
      </c>
      <c r="R19" s="35">
        <v>6</v>
      </c>
      <c r="S19" s="35">
        <f>383+376.48+376.48+1060</f>
        <v>2195.96</v>
      </c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>
        <v>17</v>
      </c>
      <c r="AE19" s="35">
        <v>10507</v>
      </c>
      <c r="AF19" s="35"/>
      <c r="AG19" s="35"/>
      <c r="AH19" s="35">
        <v>8</v>
      </c>
      <c r="AI19" s="35">
        <v>2080</v>
      </c>
      <c r="AJ19" s="35">
        <v>5</v>
      </c>
      <c r="AK19" s="35">
        <v>1232.9100000000001</v>
      </c>
      <c r="AL19" s="35">
        <v>5</v>
      </c>
      <c r="AM19" s="35">
        <v>8041.57</v>
      </c>
      <c r="AN19" s="36">
        <v>1</v>
      </c>
      <c r="AO19" s="36">
        <v>432.77</v>
      </c>
      <c r="AP19" s="36"/>
      <c r="AQ19" s="35"/>
      <c r="AR19" s="35"/>
      <c r="AS19" s="35"/>
      <c r="AT19" s="35"/>
      <c r="AU19" s="35"/>
    </row>
    <row r="20" spans="1:47" s="7" customFormat="1" ht="15.75" customHeight="1" x14ac:dyDescent="0.35">
      <c r="A20" s="13" t="s">
        <v>254</v>
      </c>
      <c r="B20" s="33">
        <v>414019.08</v>
      </c>
      <c r="C20" s="35">
        <f t="shared" si="0"/>
        <v>412441.55</v>
      </c>
      <c r="D20" s="35"/>
      <c r="E20" s="35"/>
      <c r="F20" s="35"/>
      <c r="G20" s="35"/>
      <c r="H20" s="35"/>
      <c r="I20" s="35"/>
      <c r="J20" s="35">
        <v>22</v>
      </c>
      <c r="K20" s="35">
        <f>1000.73+1044.3</f>
        <v>2045.03</v>
      </c>
      <c r="L20" s="35"/>
      <c r="M20" s="35"/>
      <c r="N20" s="35"/>
      <c r="O20" s="35"/>
      <c r="P20" s="35">
        <v>8</v>
      </c>
      <c r="Q20" s="35">
        <f>1273.01+220.56+2469</f>
        <v>3962.5699999999997</v>
      </c>
      <c r="R20" s="35">
        <v>1</v>
      </c>
      <c r="S20" s="35">
        <v>776</v>
      </c>
      <c r="T20" s="35">
        <v>2</v>
      </c>
      <c r="U20" s="35">
        <v>3744.99</v>
      </c>
      <c r="V20" s="35"/>
      <c r="W20" s="35"/>
      <c r="X20" s="35"/>
      <c r="Y20" s="35"/>
      <c r="Z20" s="35"/>
      <c r="AA20" s="35"/>
      <c r="AB20" s="35"/>
      <c r="AC20" s="35"/>
      <c r="AD20" s="35">
        <f>35+6+57+11+68</f>
        <v>177</v>
      </c>
      <c r="AE20" s="35">
        <f>24215.5+2655+11154.18+80858.4</f>
        <v>118883.07999999999</v>
      </c>
      <c r="AF20" s="35"/>
      <c r="AG20" s="35"/>
      <c r="AH20" s="35">
        <f>8+23</f>
        <v>31</v>
      </c>
      <c r="AI20" s="35">
        <f>3761.5+1353.59+2359.7</f>
        <v>7474.79</v>
      </c>
      <c r="AJ20" s="35"/>
      <c r="AK20" s="35"/>
      <c r="AL20" s="35">
        <v>1</v>
      </c>
      <c r="AM20" s="35">
        <v>1142.3399999999999</v>
      </c>
      <c r="AN20" s="36">
        <v>2</v>
      </c>
      <c r="AO20" s="36">
        <v>9652</v>
      </c>
      <c r="AP20" s="36"/>
      <c r="AQ20" s="35"/>
      <c r="AR20" s="35">
        <v>48.51</v>
      </c>
      <c r="AS20" s="35">
        <v>264760.75</v>
      </c>
      <c r="AT20" s="35"/>
      <c r="AU20" s="35"/>
    </row>
    <row r="21" spans="1:47" s="7" customFormat="1" ht="15.5" x14ac:dyDescent="0.35">
      <c r="A21" s="13" t="s">
        <v>255</v>
      </c>
      <c r="B21" s="33">
        <v>764761.44</v>
      </c>
      <c r="C21" s="35">
        <f t="shared" si="0"/>
        <v>121934.829</v>
      </c>
      <c r="D21" s="35"/>
      <c r="E21" s="35"/>
      <c r="F21" s="35"/>
      <c r="G21" s="35"/>
      <c r="H21" s="35"/>
      <c r="I21" s="35"/>
      <c r="J21" s="35">
        <f>18+3.2</f>
        <v>21.2</v>
      </c>
      <c r="K21" s="35">
        <f>8937.34+785.08</f>
        <v>9722.42</v>
      </c>
      <c r="L21" s="35"/>
      <c r="M21" s="35"/>
      <c r="N21" s="35"/>
      <c r="O21" s="35"/>
      <c r="P21" s="35">
        <f>6+8+9+5</f>
        <v>28</v>
      </c>
      <c r="Q21" s="35">
        <f>2931.82+5571.28+3117.52+1789.01</f>
        <v>13409.630000000001</v>
      </c>
      <c r="R21" s="35">
        <v>7</v>
      </c>
      <c r="S21" s="35">
        <f>5740.4+383.03+376.48+376.479+376.48+850</f>
        <v>8102.8690000000006</v>
      </c>
      <c r="T21" s="35">
        <v>6</v>
      </c>
      <c r="U21" s="35">
        <f>14572.2+1767.99</f>
        <v>16340.19</v>
      </c>
      <c r="V21" s="35"/>
      <c r="W21" s="35"/>
      <c r="X21" s="35"/>
      <c r="Y21" s="35"/>
      <c r="Z21" s="35"/>
      <c r="AA21" s="35"/>
      <c r="AB21" s="35"/>
      <c r="AC21" s="35"/>
      <c r="AD21" s="35">
        <f>22+15+29</f>
        <v>66</v>
      </c>
      <c r="AE21" s="35">
        <f>14947.1+46567.46</f>
        <v>61514.559999999998</v>
      </c>
      <c r="AF21" s="35"/>
      <c r="AG21" s="35"/>
      <c r="AH21" s="35">
        <v>4</v>
      </c>
      <c r="AI21" s="35">
        <v>9698.7000000000007</v>
      </c>
      <c r="AJ21" s="35">
        <v>23</v>
      </c>
      <c r="AK21" s="35">
        <v>3146.46</v>
      </c>
      <c r="AL21" s="35"/>
      <c r="AM21" s="35"/>
      <c r="AN21" s="36"/>
      <c r="AO21" s="36"/>
      <c r="AP21" s="36"/>
      <c r="AQ21" s="35"/>
      <c r="AR21" s="35"/>
      <c r="AS21" s="35"/>
      <c r="AT21" s="35"/>
      <c r="AU21" s="35"/>
    </row>
    <row r="22" spans="1:47" s="7" customFormat="1" ht="15.75" customHeight="1" x14ac:dyDescent="0.35">
      <c r="A22" s="13" t="s">
        <v>256</v>
      </c>
      <c r="B22" s="33">
        <v>143749.56</v>
      </c>
      <c r="C22" s="35">
        <f t="shared" si="0"/>
        <v>95123.709999999992</v>
      </c>
      <c r="D22" s="35"/>
      <c r="E22" s="35"/>
      <c r="F22" s="35"/>
      <c r="G22" s="35"/>
      <c r="H22" s="35"/>
      <c r="I22" s="35"/>
      <c r="J22" s="35">
        <v>11</v>
      </c>
      <c r="K22" s="35">
        <v>1075.83</v>
      </c>
      <c r="L22" s="35"/>
      <c r="M22" s="35"/>
      <c r="N22" s="35"/>
      <c r="O22" s="35"/>
      <c r="P22" s="35"/>
      <c r="Q22" s="35"/>
      <c r="R22" s="35">
        <v>1</v>
      </c>
      <c r="S22" s="35">
        <v>376.48</v>
      </c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>
        <v>3</v>
      </c>
      <c r="AE22" s="35">
        <v>4515.47</v>
      </c>
      <c r="AF22" s="35"/>
      <c r="AG22" s="35"/>
      <c r="AH22" s="35"/>
      <c r="AI22" s="35"/>
      <c r="AJ22" s="35"/>
      <c r="AK22" s="35"/>
      <c r="AL22" s="35"/>
      <c r="AM22" s="35"/>
      <c r="AN22" s="36"/>
      <c r="AO22" s="36"/>
      <c r="AP22" s="36"/>
      <c r="AQ22" s="35"/>
      <c r="AR22" s="35">
        <v>16.34</v>
      </c>
      <c r="AS22" s="35">
        <v>89155.93</v>
      </c>
      <c r="AT22" s="35"/>
      <c r="AU22" s="35"/>
    </row>
    <row r="23" spans="1:47" s="7" customFormat="1" ht="15.5" x14ac:dyDescent="0.35">
      <c r="A23" s="13" t="s">
        <v>257</v>
      </c>
      <c r="B23" s="33">
        <v>296036.40000000002</v>
      </c>
      <c r="C23" s="35">
        <f t="shared" si="0"/>
        <v>219186.8224</v>
      </c>
      <c r="D23" s="35">
        <v>6</v>
      </c>
      <c r="E23" s="35">
        <v>2478.6961999999999</v>
      </c>
      <c r="F23" s="35"/>
      <c r="G23" s="35"/>
      <c r="H23" s="35"/>
      <c r="I23" s="35"/>
      <c r="J23" s="35">
        <v>4.5</v>
      </c>
      <c r="K23" s="35">
        <v>587.70000000000005</v>
      </c>
      <c r="L23" s="35"/>
      <c r="M23" s="35"/>
      <c r="N23" s="35"/>
      <c r="O23" s="35"/>
      <c r="P23" s="35">
        <v>7</v>
      </c>
      <c r="Q23" s="35">
        <f>633.7+2616.06</f>
        <v>3249.76</v>
      </c>
      <c r="R23" s="35">
        <v>2</v>
      </c>
      <c r="S23" s="35">
        <f>383.03+376.48</f>
        <v>759.51</v>
      </c>
      <c r="T23" s="35">
        <v>4</v>
      </c>
      <c r="U23" s="35">
        <v>2708.89</v>
      </c>
      <c r="V23" s="35"/>
      <c r="W23" s="35"/>
      <c r="X23" s="35">
        <v>7</v>
      </c>
      <c r="Y23" s="35">
        <v>2190.4812000000002</v>
      </c>
      <c r="Z23" s="35">
        <v>0.6</v>
      </c>
      <c r="AA23" s="35">
        <v>1651.835</v>
      </c>
      <c r="AB23" s="35"/>
      <c r="AC23" s="35"/>
      <c r="AD23" s="35">
        <f>15+10</f>
        <v>25</v>
      </c>
      <c r="AE23" s="35">
        <f>11190.7+10580.2</f>
        <v>21770.9</v>
      </c>
      <c r="AF23" s="35"/>
      <c r="AG23" s="35"/>
      <c r="AH23" s="35">
        <v>5</v>
      </c>
      <c r="AI23" s="35">
        <f>1767.4+1064.8+1387.79</f>
        <v>4219.99</v>
      </c>
      <c r="AJ23" s="35">
        <v>14</v>
      </c>
      <c r="AK23" s="35">
        <f>2213.62+702.74</f>
        <v>2916.3599999999997</v>
      </c>
      <c r="AL23" s="35"/>
      <c r="AM23" s="35"/>
      <c r="AN23" s="36"/>
      <c r="AO23" s="36"/>
      <c r="AP23" s="36"/>
      <c r="AQ23" s="35"/>
      <c r="AR23" s="35">
        <v>32.369999999999997</v>
      </c>
      <c r="AS23" s="35">
        <v>176652.7</v>
      </c>
      <c r="AT23" s="35"/>
      <c r="AU23" s="35"/>
    </row>
    <row r="24" spans="1:47" s="7" customFormat="1" ht="15.5" x14ac:dyDescent="0.35">
      <c r="A24" s="13" t="s">
        <v>258</v>
      </c>
      <c r="B24" s="33">
        <v>548803.92000000004</v>
      </c>
      <c r="C24" s="35">
        <f t="shared" si="0"/>
        <v>487741.60980000009</v>
      </c>
      <c r="D24" s="35"/>
      <c r="E24" s="35"/>
      <c r="F24" s="35"/>
      <c r="G24" s="35"/>
      <c r="H24" s="35"/>
      <c r="I24" s="35"/>
      <c r="J24" s="35">
        <f>6+563</f>
        <v>569</v>
      </c>
      <c r="K24" s="35">
        <f>700.35+353660.163</f>
        <v>354360.51299999998</v>
      </c>
      <c r="L24" s="35">
        <v>281</v>
      </c>
      <c r="M24" s="35">
        <v>20520.46</v>
      </c>
      <c r="N24" s="35"/>
      <c r="O24" s="35"/>
      <c r="P24" s="35">
        <f>17+14+3</f>
        <v>34</v>
      </c>
      <c r="Q24" s="35">
        <f>2080.94+5719.34+2699.32+6540.07</f>
        <v>17039.669999999998</v>
      </c>
      <c r="R24" s="35">
        <v>5</v>
      </c>
      <c r="S24" s="35">
        <f>1787.9+383.03+376.48+592.87</f>
        <v>3140.28</v>
      </c>
      <c r="T24" s="35">
        <f>19+6</f>
        <v>25</v>
      </c>
      <c r="U24" s="35">
        <f>23818.5+11938.19</f>
        <v>35756.69</v>
      </c>
      <c r="V24" s="35"/>
      <c r="W24" s="35"/>
      <c r="X24" s="35">
        <v>56</v>
      </c>
      <c r="Y24" s="35">
        <f>6893.78+10340.6468</f>
        <v>17234.426800000001</v>
      </c>
      <c r="Z24" s="35"/>
      <c r="AA24" s="35"/>
      <c r="AB24" s="35"/>
      <c r="AC24" s="35"/>
      <c r="AD24" s="35">
        <f>192.5+24</f>
        <v>216.5</v>
      </c>
      <c r="AE24" s="35">
        <f>9686.03+5502.41+10641.9</f>
        <v>25830.34</v>
      </c>
      <c r="AF24" s="35"/>
      <c r="AG24" s="35"/>
      <c r="AH24" s="35">
        <v>4</v>
      </c>
      <c r="AI24" s="35">
        <v>1898.53</v>
      </c>
      <c r="AJ24" s="35">
        <v>100</v>
      </c>
      <c r="AK24" s="35">
        <v>11960.7</v>
      </c>
      <c r="AL24" s="35"/>
      <c r="AM24" s="35"/>
      <c r="AN24" s="36"/>
      <c r="AO24" s="36"/>
      <c r="AP24" s="36"/>
      <c r="AQ24" s="35"/>
      <c r="AR24" s="35"/>
      <c r="AS24" s="35"/>
      <c r="AT24" s="35"/>
      <c r="AU24" s="35"/>
    </row>
    <row r="25" spans="1:47" s="7" customFormat="1" ht="15.5" x14ac:dyDescent="0.35">
      <c r="A25" s="13" t="s">
        <v>259</v>
      </c>
      <c r="B25" s="33">
        <v>308196.12</v>
      </c>
      <c r="C25" s="35">
        <f t="shared" si="0"/>
        <v>295798.10499999998</v>
      </c>
      <c r="D25" s="35">
        <v>6</v>
      </c>
      <c r="E25" s="35">
        <v>4124.71</v>
      </c>
      <c r="F25" s="35"/>
      <c r="G25" s="35"/>
      <c r="H25" s="35"/>
      <c r="I25" s="35"/>
      <c r="J25" s="35">
        <v>6</v>
      </c>
      <c r="K25" s="35">
        <v>950.12</v>
      </c>
      <c r="L25" s="35"/>
      <c r="M25" s="35"/>
      <c r="N25" s="35"/>
      <c r="O25" s="35"/>
      <c r="P25" s="35">
        <v>5</v>
      </c>
      <c r="Q25" s="35">
        <f>1601.68+1372.53</f>
        <v>2974.21</v>
      </c>
      <c r="R25" s="35">
        <v>1</v>
      </c>
      <c r="S25" s="35">
        <v>383.03</v>
      </c>
      <c r="T25" s="35">
        <v>4</v>
      </c>
      <c r="U25" s="35">
        <v>3111.31</v>
      </c>
      <c r="V25" s="35"/>
      <c r="W25" s="35"/>
      <c r="X25" s="35">
        <v>7.1</v>
      </c>
      <c r="Y25" s="35">
        <f>11650.9424+938.7726</f>
        <v>12589.715</v>
      </c>
      <c r="Z25" s="35"/>
      <c r="AA25" s="35"/>
      <c r="AB25" s="35"/>
      <c r="AC25" s="35"/>
      <c r="AD25" s="35">
        <v>59</v>
      </c>
      <c r="AE25" s="35">
        <f>26860.46+33378.6</f>
        <v>60239.06</v>
      </c>
      <c r="AF25" s="35"/>
      <c r="AG25" s="35"/>
      <c r="AH25" s="35">
        <v>10</v>
      </c>
      <c r="AI25" s="35">
        <f>405.96+3069.52</f>
        <v>3475.48</v>
      </c>
      <c r="AJ25" s="35">
        <v>45</v>
      </c>
      <c r="AK25" s="35">
        <f>8774.69+6122.78</f>
        <v>14897.470000000001</v>
      </c>
      <c r="AL25" s="35"/>
      <c r="AM25" s="35"/>
      <c r="AN25" s="36">
        <v>7</v>
      </c>
      <c r="AO25" s="36">
        <f>432.77+5217</f>
        <v>5649.77</v>
      </c>
      <c r="AP25" s="36"/>
      <c r="AQ25" s="35">
        <v>26860.75</v>
      </c>
      <c r="AR25" s="35">
        <v>27</v>
      </c>
      <c r="AS25" s="35">
        <v>150040.48000000001</v>
      </c>
      <c r="AT25" s="35"/>
      <c r="AU25" s="35">
        <v>10502</v>
      </c>
    </row>
    <row r="26" spans="1:47" s="7" customFormat="1" ht="15.75" customHeight="1" x14ac:dyDescent="0.35">
      <c r="A26" s="13" t="s">
        <v>260</v>
      </c>
      <c r="B26" s="33">
        <v>444716.16</v>
      </c>
      <c r="C26" s="35">
        <f t="shared" si="0"/>
        <v>7401.27</v>
      </c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>
        <v>2</v>
      </c>
      <c r="Q26" s="35">
        <v>273</v>
      </c>
      <c r="R26" s="35">
        <v>3</v>
      </c>
      <c r="S26" s="35">
        <f>376.48+376.48+304</f>
        <v>1056.96</v>
      </c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>
        <f>3.5+65</f>
        <v>68.5</v>
      </c>
      <c r="AK26" s="35">
        <f>419+4920.31+732</f>
        <v>6071.31</v>
      </c>
      <c r="AL26" s="35"/>
      <c r="AM26" s="35"/>
      <c r="AN26" s="36"/>
      <c r="AO26" s="36"/>
      <c r="AP26" s="36"/>
      <c r="AQ26" s="35"/>
      <c r="AR26" s="35"/>
      <c r="AS26" s="35"/>
      <c r="AT26" s="35"/>
      <c r="AU26" s="35"/>
    </row>
    <row r="27" spans="1:47" s="7" customFormat="1" ht="15.75" customHeight="1" x14ac:dyDescent="0.35">
      <c r="A27" s="13" t="s">
        <v>261</v>
      </c>
      <c r="B27" s="33">
        <v>279435.24</v>
      </c>
      <c r="C27" s="35">
        <f t="shared" si="0"/>
        <v>80709.058599999989</v>
      </c>
      <c r="D27" s="35"/>
      <c r="E27" s="35"/>
      <c r="F27" s="35"/>
      <c r="G27" s="35"/>
      <c r="H27" s="35"/>
      <c r="I27" s="35"/>
      <c r="J27" s="35">
        <v>9.5</v>
      </c>
      <c r="K27" s="35">
        <v>1337.8486</v>
      </c>
      <c r="L27" s="35"/>
      <c r="M27" s="35"/>
      <c r="N27" s="35"/>
      <c r="O27" s="35"/>
      <c r="P27" s="35">
        <f>13+20</f>
        <v>33</v>
      </c>
      <c r="Q27" s="35">
        <f>9282.79+4004.21+1354.38+5662.6</f>
        <v>20303.980000000003</v>
      </c>
      <c r="R27" s="35">
        <v>4</v>
      </c>
      <c r="S27" s="35">
        <f>642.06+10078</f>
        <v>10720.06</v>
      </c>
      <c r="T27" s="35"/>
      <c r="U27" s="35"/>
      <c r="V27" s="35"/>
      <c r="W27" s="35"/>
      <c r="X27" s="35">
        <v>2.7</v>
      </c>
      <c r="Y27" s="35">
        <v>793.99</v>
      </c>
      <c r="Z27" s="35">
        <v>2</v>
      </c>
      <c r="AA27" s="35">
        <v>8171</v>
      </c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6"/>
      <c r="AO27" s="36"/>
      <c r="AP27" s="36"/>
      <c r="AQ27" s="35">
        <v>38869.589999999997</v>
      </c>
      <c r="AR27" s="35"/>
      <c r="AS27" s="35"/>
      <c r="AT27" s="35"/>
      <c r="AU27" s="35">
        <v>512.59</v>
      </c>
    </row>
    <row r="28" spans="1:47" s="7" customFormat="1" ht="15.5" x14ac:dyDescent="0.35">
      <c r="A28" s="13" t="s">
        <v>262</v>
      </c>
      <c r="B28" s="33" t="s">
        <v>402</v>
      </c>
      <c r="C28" s="35">
        <f t="shared" si="0"/>
        <v>29608.9</v>
      </c>
      <c r="D28" s="35">
        <v>16</v>
      </c>
      <c r="E28" s="35">
        <v>9269</v>
      </c>
      <c r="F28" s="35"/>
      <c r="G28" s="35"/>
      <c r="H28" s="35"/>
      <c r="I28" s="35"/>
      <c r="J28" s="35">
        <v>20</v>
      </c>
      <c r="K28" s="35">
        <f>1651.3+5750.6</f>
        <v>7401.9000000000005</v>
      </c>
      <c r="L28" s="35"/>
      <c r="M28" s="35"/>
      <c r="N28" s="35"/>
      <c r="O28" s="35"/>
      <c r="P28" s="35">
        <v>3</v>
      </c>
      <c r="Q28" s="35">
        <v>1525</v>
      </c>
      <c r="R28" s="35"/>
      <c r="S28" s="35"/>
      <c r="T28" s="35">
        <v>4</v>
      </c>
      <c r="U28" s="35">
        <v>2393</v>
      </c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>
        <v>3</v>
      </c>
      <c r="AI28" s="35">
        <v>9020</v>
      </c>
      <c r="AJ28" s="35"/>
      <c r="AK28" s="35"/>
      <c r="AL28" s="35"/>
      <c r="AM28" s="35"/>
      <c r="AN28" s="36"/>
      <c r="AO28" s="36"/>
      <c r="AP28" s="36"/>
      <c r="AQ28" s="35"/>
      <c r="AR28" s="35"/>
      <c r="AS28" s="35"/>
      <c r="AT28" s="35"/>
      <c r="AU28" s="35"/>
    </row>
    <row r="29" spans="1:47" s="7" customFormat="1" ht="15.75" customHeight="1" x14ac:dyDescent="0.35">
      <c r="A29" s="13" t="s">
        <v>393</v>
      </c>
      <c r="B29" s="33">
        <v>74981.279999999999</v>
      </c>
      <c r="C29" s="35">
        <f t="shared" si="0"/>
        <v>11629.08</v>
      </c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>
        <v>5</v>
      </c>
      <c r="Q29" s="35">
        <v>2016.14</v>
      </c>
      <c r="R29" s="35"/>
      <c r="S29" s="35"/>
      <c r="T29" s="35"/>
      <c r="U29" s="35"/>
      <c r="V29" s="35"/>
      <c r="W29" s="35"/>
      <c r="X29" s="35">
        <v>2.1</v>
      </c>
      <c r="Y29" s="35">
        <v>7348.66</v>
      </c>
      <c r="Z29" s="35"/>
      <c r="AA29" s="35"/>
      <c r="AB29" s="35"/>
      <c r="AC29" s="35"/>
      <c r="AD29" s="35">
        <v>2.5</v>
      </c>
      <c r="AE29" s="35">
        <v>2264.2800000000002</v>
      </c>
      <c r="AF29" s="35"/>
      <c r="AG29" s="35"/>
      <c r="AH29" s="35"/>
      <c r="AI29" s="35"/>
      <c r="AJ29" s="35"/>
      <c r="AK29" s="35"/>
      <c r="AL29" s="35"/>
      <c r="AM29" s="35"/>
      <c r="AN29" s="36"/>
      <c r="AO29" s="36"/>
      <c r="AP29" s="36"/>
      <c r="AQ29" s="35"/>
      <c r="AR29" s="35"/>
      <c r="AS29" s="35"/>
      <c r="AT29" s="35"/>
      <c r="AU29" s="35"/>
    </row>
    <row r="30" spans="1:47" s="7" customFormat="1" ht="15.75" customHeight="1" x14ac:dyDescent="0.35">
      <c r="A30" s="13" t="s">
        <v>263</v>
      </c>
      <c r="B30" s="33">
        <v>90928.56</v>
      </c>
      <c r="C30" s="35">
        <f t="shared" si="0"/>
        <v>117810.04999999999</v>
      </c>
      <c r="D30" s="35"/>
      <c r="E30" s="35"/>
      <c r="F30" s="35"/>
      <c r="G30" s="35"/>
      <c r="H30" s="35"/>
      <c r="I30" s="35"/>
      <c r="J30" s="35">
        <v>12</v>
      </c>
      <c r="K30" s="35">
        <v>1400.71</v>
      </c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>
        <v>34</v>
      </c>
      <c r="AE30" s="35">
        <v>54854.45</v>
      </c>
      <c r="AF30" s="35"/>
      <c r="AG30" s="35"/>
      <c r="AH30" s="35">
        <v>8</v>
      </c>
      <c r="AI30" s="35">
        <v>1192.3499999999999</v>
      </c>
      <c r="AJ30" s="35">
        <v>6</v>
      </c>
      <c r="AK30" s="35">
        <v>452.58</v>
      </c>
      <c r="AL30" s="35"/>
      <c r="AM30" s="35"/>
      <c r="AN30" s="36">
        <v>2</v>
      </c>
      <c r="AO30" s="36">
        <f>432.77+869</f>
        <v>1301.77</v>
      </c>
      <c r="AP30" s="36"/>
      <c r="AQ30" s="35"/>
      <c r="AR30" s="35">
        <v>11</v>
      </c>
      <c r="AS30" s="35">
        <v>58608.19</v>
      </c>
      <c r="AT30" s="35"/>
      <c r="AU30" s="35"/>
    </row>
    <row r="31" spans="1:47" s="7" customFormat="1" ht="15.5" x14ac:dyDescent="0.35">
      <c r="A31" s="13" t="s">
        <v>264</v>
      </c>
      <c r="B31" s="33">
        <v>95731.68</v>
      </c>
      <c r="C31" s="35">
        <f t="shared" si="0"/>
        <v>173501.52</v>
      </c>
      <c r="D31" s="35">
        <f>23+10</f>
        <v>33</v>
      </c>
      <c r="E31" s="35">
        <f>5183.19+860+4963.08</f>
        <v>11006.27</v>
      </c>
      <c r="F31" s="35"/>
      <c r="G31" s="35"/>
      <c r="H31" s="35"/>
      <c r="I31" s="35"/>
      <c r="J31" s="35"/>
      <c r="K31" s="35"/>
      <c r="L31" s="35">
        <v>464</v>
      </c>
      <c r="M31" s="35">
        <v>127609</v>
      </c>
      <c r="N31" s="35"/>
      <c r="O31" s="35"/>
      <c r="P31" s="35">
        <v>14</v>
      </c>
      <c r="Q31" s="35">
        <f>2546.02+2795.24+4626.8</f>
        <v>9968.0600000000013</v>
      </c>
      <c r="R31" s="35">
        <v>3</v>
      </c>
      <c r="S31" s="35">
        <v>1778.61</v>
      </c>
      <c r="T31" s="35">
        <v>8</v>
      </c>
      <c r="U31" s="35">
        <v>12610.7</v>
      </c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>
        <v>10</v>
      </c>
      <c r="AI31" s="35">
        <v>1919.54</v>
      </c>
      <c r="AJ31" s="35"/>
      <c r="AK31" s="35"/>
      <c r="AL31" s="35"/>
      <c r="AM31" s="35"/>
      <c r="AN31" s="36">
        <v>14</v>
      </c>
      <c r="AO31" s="36">
        <f>432.77+8176.57</f>
        <v>8609.34</v>
      </c>
      <c r="AP31" s="36"/>
      <c r="AQ31" s="35"/>
      <c r="AR31" s="35"/>
      <c r="AS31" s="35"/>
      <c r="AT31" s="35"/>
      <c r="AU31" s="35"/>
    </row>
    <row r="32" spans="1:47" s="7" customFormat="1" ht="15.75" customHeight="1" x14ac:dyDescent="0.35">
      <c r="A32" s="13" t="s">
        <v>265</v>
      </c>
      <c r="B32" s="33">
        <v>39153.599999999999</v>
      </c>
      <c r="C32" s="35">
        <f t="shared" si="0"/>
        <v>73169.73000000001</v>
      </c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>
        <v>5</v>
      </c>
      <c r="Q32" s="35">
        <v>2129</v>
      </c>
      <c r="R32" s="35"/>
      <c r="S32" s="35"/>
      <c r="T32" s="35">
        <v>2</v>
      </c>
      <c r="U32" s="35">
        <v>1900</v>
      </c>
      <c r="V32" s="35"/>
      <c r="W32" s="35"/>
      <c r="X32" s="35">
        <v>17.5</v>
      </c>
      <c r="Y32" s="35">
        <v>6414.77</v>
      </c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6">
        <v>2</v>
      </c>
      <c r="AO32" s="36">
        <f>432.77+869</f>
        <v>1301.77</v>
      </c>
      <c r="AP32" s="36"/>
      <c r="AQ32" s="35"/>
      <c r="AR32" s="35">
        <v>11</v>
      </c>
      <c r="AS32" s="35">
        <v>61424.19</v>
      </c>
      <c r="AT32" s="35"/>
      <c r="AU32" s="35"/>
    </row>
    <row r="33" spans="1:47" s="7" customFormat="1" ht="15.75" customHeight="1" x14ac:dyDescent="0.35">
      <c r="A33" s="13" t="s">
        <v>266</v>
      </c>
      <c r="B33" s="33">
        <v>393681.84</v>
      </c>
      <c r="C33" s="35">
        <f t="shared" si="0"/>
        <v>695585.37999999989</v>
      </c>
      <c r="D33" s="35">
        <f>2+133</f>
        <v>135</v>
      </c>
      <c r="E33" s="35">
        <f>1357.45+262991</f>
        <v>264348.45</v>
      </c>
      <c r="F33" s="35"/>
      <c r="G33" s="35"/>
      <c r="H33" s="35"/>
      <c r="I33" s="35"/>
      <c r="J33" s="35">
        <f>3+1.5+9</f>
        <v>13.5</v>
      </c>
      <c r="K33" s="35">
        <f>1425.18+3845.7+7865</f>
        <v>13135.880000000001</v>
      </c>
      <c r="L33" s="35"/>
      <c r="M33" s="35"/>
      <c r="N33" s="35"/>
      <c r="O33" s="35"/>
      <c r="P33" s="35">
        <f>14+8</f>
        <v>22</v>
      </c>
      <c r="Q33" s="35">
        <f>4248.32+647.67+6998.8</f>
        <v>11894.79</v>
      </c>
      <c r="R33" s="35"/>
      <c r="S33" s="35"/>
      <c r="T33" s="35">
        <v>18</v>
      </c>
      <c r="U33" s="35">
        <v>46598.3</v>
      </c>
      <c r="V33" s="35">
        <v>4.5</v>
      </c>
      <c r="W33" s="35">
        <v>5762.08</v>
      </c>
      <c r="X33" s="35"/>
      <c r="Y33" s="35"/>
      <c r="Z33" s="35"/>
      <c r="AA33" s="35"/>
      <c r="AB33" s="35"/>
      <c r="AC33" s="35"/>
      <c r="AD33" s="35">
        <f>13+36</f>
        <v>49</v>
      </c>
      <c r="AE33" s="35">
        <f>6071.22+2237.81+1936.94+17984.2</f>
        <v>28230.170000000002</v>
      </c>
      <c r="AF33" s="35"/>
      <c r="AG33" s="35"/>
      <c r="AH33" s="35">
        <v>4</v>
      </c>
      <c r="AI33" s="35">
        <f>2228.1+902.4+354.74</f>
        <v>3485.24</v>
      </c>
      <c r="AJ33" s="35">
        <v>50</v>
      </c>
      <c r="AK33" s="35">
        <v>4713.6400000000003</v>
      </c>
      <c r="AL33" s="35">
        <v>8</v>
      </c>
      <c r="AM33" s="35">
        <f>1723.76+3247.96+1313.14+5761.86+1327.42</f>
        <v>13374.140000000001</v>
      </c>
      <c r="AN33" s="36">
        <v>8</v>
      </c>
      <c r="AO33" s="36">
        <f>2256.1+1541.5+5549</f>
        <v>9346.6</v>
      </c>
      <c r="AP33" s="36"/>
      <c r="AQ33" s="35">
        <v>89257.49</v>
      </c>
      <c r="AR33" s="35">
        <v>38</v>
      </c>
      <c r="AS33" s="35">
        <v>211200.68</v>
      </c>
      <c r="AT33" s="35"/>
      <c r="AU33" s="35"/>
    </row>
    <row r="34" spans="1:47" s="7" customFormat="1" ht="15.75" customHeight="1" x14ac:dyDescent="0.35">
      <c r="A34" s="13" t="s">
        <v>267</v>
      </c>
      <c r="B34" s="33">
        <v>246636.96</v>
      </c>
      <c r="C34" s="35">
        <f t="shared" si="0"/>
        <v>77827.539000000004</v>
      </c>
      <c r="D34" s="35">
        <v>21</v>
      </c>
      <c r="E34" s="35">
        <v>9579.8889999999992</v>
      </c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>
        <v>2</v>
      </c>
      <c r="Q34" s="35">
        <v>1111.0999999999999</v>
      </c>
      <c r="R34" s="35"/>
      <c r="S34" s="35"/>
      <c r="T34" s="35">
        <v>4</v>
      </c>
      <c r="U34" s="35">
        <v>18705</v>
      </c>
      <c r="V34" s="35"/>
      <c r="W34" s="35"/>
      <c r="X34" s="35"/>
      <c r="Y34" s="35"/>
      <c r="Z34" s="35">
        <v>2</v>
      </c>
      <c r="AA34" s="35">
        <v>13314</v>
      </c>
      <c r="AB34" s="35"/>
      <c r="AC34" s="35"/>
      <c r="AD34" s="35">
        <f>22+9</f>
        <v>31</v>
      </c>
      <c r="AE34" s="35">
        <f>8099.46+4709.84</f>
        <v>12809.3</v>
      </c>
      <c r="AF34" s="35"/>
      <c r="AG34" s="35"/>
      <c r="AH34" s="35">
        <f>4+3</f>
        <v>7</v>
      </c>
      <c r="AI34" s="35">
        <f>6953.99+2188.38+731.01</f>
        <v>9873.3799999999992</v>
      </c>
      <c r="AJ34" s="35"/>
      <c r="AK34" s="35"/>
      <c r="AL34" s="35">
        <v>9</v>
      </c>
      <c r="AM34" s="35">
        <f>685.77+11749.1</f>
        <v>12434.87</v>
      </c>
      <c r="AN34" s="36"/>
      <c r="AO34" s="36"/>
      <c r="AP34" s="36"/>
      <c r="AQ34" s="35"/>
      <c r="AR34" s="35"/>
      <c r="AS34" s="35"/>
      <c r="AT34" s="35"/>
      <c r="AU34" s="35"/>
    </row>
    <row r="35" spans="1:47" s="7" customFormat="1" ht="15.5" x14ac:dyDescent="0.35">
      <c r="A35" s="13" t="s">
        <v>268</v>
      </c>
      <c r="B35" s="33">
        <v>281941.8</v>
      </c>
      <c r="C35" s="35">
        <f t="shared" si="0"/>
        <v>122625.13799999999</v>
      </c>
      <c r="D35" s="37">
        <v>7.5</v>
      </c>
      <c r="E35" s="35">
        <v>1852.47</v>
      </c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>
        <v>9</v>
      </c>
      <c r="Q35" s="35">
        <f>2103.72+3618.51+4285.4</f>
        <v>10007.629999999999</v>
      </c>
      <c r="R35" s="35"/>
      <c r="S35" s="35"/>
      <c r="T35" s="35">
        <v>3</v>
      </c>
      <c r="U35" s="35">
        <f>743+2869</f>
        <v>3612</v>
      </c>
      <c r="V35" s="35"/>
      <c r="W35" s="35"/>
      <c r="X35" s="35">
        <v>8.5</v>
      </c>
      <c r="Y35" s="37">
        <v>2620.7800000000002</v>
      </c>
      <c r="Z35" s="37"/>
      <c r="AA35" s="35"/>
      <c r="AB35" s="35"/>
      <c r="AC35" s="35"/>
      <c r="AD35" s="35">
        <f>3+12+2+3.5</f>
        <v>20.5</v>
      </c>
      <c r="AE35" s="35">
        <f>1241.8+2382.02+2176.888+4318</f>
        <v>10118.707999999999</v>
      </c>
      <c r="AF35" s="35"/>
      <c r="AG35" s="35"/>
      <c r="AH35" s="35">
        <v>5</v>
      </c>
      <c r="AI35" s="35">
        <f>819.85+4840.36</f>
        <v>5660.21</v>
      </c>
      <c r="AJ35" s="35">
        <v>4</v>
      </c>
      <c r="AK35" s="35">
        <v>2500.6999999999998</v>
      </c>
      <c r="AL35" s="35"/>
      <c r="AM35" s="35"/>
      <c r="AN35" s="36"/>
      <c r="AO35" s="36"/>
      <c r="AP35" s="36"/>
      <c r="AQ35" s="35">
        <v>52388.94</v>
      </c>
      <c r="AR35" s="35"/>
      <c r="AS35" s="35"/>
      <c r="AT35" s="35"/>
      <c r="AU35" s="35">
        <v>33863.699999999997</v>
      </c>
    </row>
    <row r="36" spans="1:47" s="7" customFormat="1" ht="15.75" customHeight="1" x14ac:dyDescent="0.35">
      <c r="A36" s="13" t="s">
        <v>269</v>
      </c>
      <c r="B36" s="33">
        <v>185412.84</v>
      </c>
      <c r="C36" s="35">
        <f t="shared" si="0"/>
        <v>108872.09000000001</v>
      </c>
      <c r="D36" s="35"/>
      <c r="E36" s="35"/>
      <c r="F36" s="35"/>
      <c r="G36" s="35"/>
      <c r="H36" s="35"/>
      <c r="I36" s="35"/>
      <c r="J36" s="35">
        <f>6.75+138</f>
        <v>144.75</v>
      </c>
      <c r="K36" s="35">
        <f>756.68+86687.46</f>
        <v>87444.14</v>
      </c>
      <c r="L36" s="35"/>
      <c r="M36" s="35"/>
      <c r="N36" s="35"/>
      <c r="O36" s="35"/>
      <c r="P36" s="35">
        <v>5</v>
      </c>
      <c r="Q36" s="35">
        <v>3207.77</v>
      </c>
      <c r="R36" s="35">
        <v>1</v>
      </c>
      <c r="S36" s="35">
        <v>933</v>
      </c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>
        <f>6+8</f>
        <v>14</v>
      </c>
      <c r="AE36" s="35">
        <f>2935.63+4207.78</f>
        <v>7143.41</v>
      </c>
      <c r="AF36" s="35">
        <v>1</v>
      </c>
      <c r="AG36" s="35">
        <v>3551</v>
      </c>
      <c r="AH36" s="35">
        <v>9</v>
      </c>
      <c r="AI36" s="35">
        <f>2700.6+1037.22</f>
        <v>3737.8199999999997</v>
      </c>
      <c r="AJ36" s="35">
        <v>3</v>
      </c>
      <c r="AK36" s="35">
        <v>228</v>
      </c>
      <c r="AL36" s="35">
        <v>7</v>
      </c>
      <c r="AM36" s="35">
        <v>2626.95</v>
      </c>
      <c r="AN36" s="36"/>
      <c r="AO36" s="36"/>
      <c r="AP36" s="36"/>
      <c r="AQ36" s="35"/>
      <c r="AR36" s="35"/>
      <c r="AS36" s="35"/>
      <c r="AT36" s="35"/>
      <c r="AU36" s="35"/>
    </row>
    <row r="37" spans="1:47" s="7" customFormat="1" ht="15.5" x14ac:dyDescent="0.35">
      <c r="A37" s="13" t="s">
        <v>270</v>
      </c>
      <c r="B37" s="33">
        <v>214127.64</v>
      </c>
      <c r="C37" s="35">
        <f t="shared" si="0"/>
        <v>23148.14</v>
      </c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>
        <f>9+7</f>
        <v>16</v>
      </c>
      <c r="Q37" s="35">
        <f>2843.89+4061.47</f>
        <v>6905.36</v>
      </c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>
        <v>13</v>
      </c>
      <c r="AE37" s="35">
        <f>5953.63+974.68</f>
        <v>6928.31</v>
      </c>
      <c r="AF37" s="35"/>
      <c r="AG37" s="35"/>
      <c r="AH37" s="35">
        <v>6</v>
      </c>
      <c r="AI37" s="35">
        <v>2466.1999999999998</v>
      </c>
      <c r="AJ37" s="35">
        <v>60</v>
      </c>
      <c r="AK37" s="35">
        <f>1161.85+5686.42</f>
        <v>6848.27</v>
      </c>
      <c r="AL37" s="35"/>
      <c r="AM37" s="35"/>
      <c r="AN37" s="36"/>
      <c r="AO37" s="36"/>
      <c r="AP37" s="36"/>
      <c r="AQ37" s="35"/>
      <c r="AR37" s="35"/>
      <c r="AS37" s="35"/>
      <c r="AT37" s="35"/>
      <c r="AU37" s="35"/>
    </row>
    <row r="38" spans="1:47" s="7" customFormat="1" ht="15.75" customHeight="1" x14ac:dyDescent="0.35">
      <c r="A38" s="13" t="s">
        <v>271</v>
      </c>
      <c r="B38" s="33">
        <v>1229994.1200000001</v>
      </c>
      <c r="C38" s="35">
        <f t="shared" si="0"/>
        <v>172071.35800000001</v>
      </c>
      <c r="D38" s="35">
        <f>1+36.4</f>
        <v>37.4</v>
      </c>
      <c r="E38" s="35">
        <f>687.44+13547.58</f>
        <v>14235.02</v>
      </c>
      <c r="F38" s="35"/>
      <c r="G38" s="35"/>
      <c r="H38" s="35"/>
      <c r="I38" s="35"/>
      <c r="J38" s="35">
        <f>21+3.2</f>
        <v>24.2</v>
      </c>
      <c r="K38" s="35">
        <f>1826.81+785.08</f>
        <v>2611.89</v>
      </c>
      <c r="L38" s="35"/>
      <c r="M38" s="35"/>
      <c r="N38" s="35"/>
      <c r="O38" s="35"/>
      <c r="P38" s="35">
        <f>5+42+6</f>
        <v>53</v>
      </c>
      <c r="Q38" s="35">
        <f>3207.77+2843.89+15970.27</f>
        <v>22021.93</v>
      </c>
      <c r="R38" s="35">
        <v>4</v>
      </c>
      <c r="S38" s="35">
        <f>764.45+752.95+304</f>
        <v>1821.4</v>
      </c>
      <c r="T38" s="35">
        <v>4</v>
      </c>
      <c r="U38" s="35">
        <v>14240.5</v>
      </c>
      <c r="V38" s="35">
        <v>4</v>
      </c>
      <c r="W38" s="35">
        <v>5121.8500000000004</v>
      </c>
      <c r="X38" s="35">
        <v>22</v>
      </c>
      <c r="Y38" s="35">
        <f>4168.16+3442.178</f>
        <v>7610.3379999999997</v>
      </c>
      <c r="Z38" s="35">
        <v>6</v>
      </c>
      <c r="AA38" s="35">
        <v>16161.28</v>
      </c>
      <c r="AB38" s="35"/>
      <c r="AC38" s="35"/>
      <c r="AD38" s="35">
        <v>97.5</v>
      </c>
      <c r="AE38" s="35">
        <f>17941+50328</f>
        <v>68269</v>
      </c>
      <c r="AF38" s="35"/>
      <c r="AG38" s="35"/>
      <c r="AH38" s="35">
        <v>9</v>
      </c>
      <c r="AI38" s="35">
        <f>3572.8+1037.22</f>
        <v>4610.0200000000004</v>
      </c>
      <c r="AJ38" s="35">
        <v>15</v>
      </c>
      <c r="AK38" s="35">
        <v>3129.11</v>
      </c>
      <c r="AL38" s="35">
        <v>10</v>
      </c>
      <c r="AM38" s="35">
        <v>1142.95</v>
      </c>
      <c r="AN38" s="36">
        <v>15</v>
      </c>
      <c r="AO38" s="36">
        <v>16217.92</v>
      </c>
      <c r="AP38" s="36"/>
      <c r="AQ38" s="35"/>
      <c r="AR38" s="35"/>
      <c r="AS38" s="35"/>
      <c r="AT38" s="35"/>
      <c r="AU38" s="35"/>
    </row>
    <row r="39" spans="1:47" s="7" customFormat="1" ht="15.75" customHeight="1" x14ac:dyDescent="0.35">
      <c r="A39" s="13" t="s">
        <v>272</v>
      </c>
      <c r="B39" s="33">
        <v>146181.48000000001</v>
      </c>
      <c r="C39" s="35">
        <f t="shared" si="0"/>
        <v>39506.979999999996</v>
      </c>
      <c r="D39" s="35"/>
      <c r="E39" s="35"/>
      <c r="F39" s="35"/>
      <c r="G39" s="35"/>
      <c r="H39" s="35"/>
      <c r="I39" s="35"/>
      <c r="J39" s="35">
        <v>6</v>
      </c>
      <c r="K39" s="35">
        <f>2887.1+1705.97</f>
        <v>4593.07</v>
      </c>
      <c r="L39" s="35"/>
      <c r="M39" s="35"/>
      <c r="N39" s="35"/>
      <c r="O39" s="35"/>
      <c r="P39" s="35">
        <f>49+4</f>
        <v>53</v>
      </c>
      <c r="Q39" s="35">
        <f>519.7+1979.44+349.28+7926.2</f>
        <v>10774.619999999999</v>
      </c>
      <c r="R39" s="35">
        <v>1</v>
      </c>
      <c r="S39" s="35">
        <v>4687.28</v>
      </c>
      <c r="T39" s="35">
        <v>2</v>
      </c>
      <c r="U39" s="35">
        <v>1197</v>
      </c>
      <c r="V39" s="35"/>
      <c r="W39" s="35"/>
      <c r="X39" s="35">
        <v>22.6</v>
      </c>
      <c r="Y39" s="35">
        <v>7703.31</v>
      </c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>
        <v>23</v>
      </c>
      <c r="AK39" s="35">
        <f>4281.45+1464</f>
        <v>5745.45</v>
      </c>
      <c r="AL39" s="35">
        <v>1</v>
      </c>
      <c r="AM39" s="35">
        <v>3504.48</v>
      </c>
      <c r="AN39" s="36">
        <v>2</v>
      </c>
      <c r="AO39" s="36">
        <f>432.77+869</f>
        <v>1301.77</v>
      </c>
      <c r="AP39" s="36"/>
      <c r="AQ39" s="35"/>
      <c r="AR39" s="35"/>
      <c r="AS39" s="35"/>
      <c r="AT39" s="35"/>
      <c r="AU39" s="35"/>
    </row>
    <row r="40" spans="1:47" s="7" customFormat="1" ht="15.75" customHeight="1" x14ac:dyDescent="0.35">
      <c r="A40" s="13" t="s">
        <v>273</v>
      </c>
      <c r="B40" s="33">
        <v>56109.24</v>
      </c>
      <c r="C40" s="35">
        <f t="shared" si="0"/>
        <v>139425.94</v>
      </c>
      <c r="D40" s="35"/>
      <c r="E40" s="35"/>
      <c r="F40" s="35"/>
      <c r="G40" s="35"/>
      <c r="H40" s="35"/>
      <c r="I40" s="35"/>
      <c r="J40" s="35">
        <v>163</v>
      </c>
      <c r="K40" s="35">
        <f>475.06+21454.3+6297.31</f>
        <v>28226.670000000002</v>
      </c>
      <c r="L40" s="35"/>
      <c r="M40" s="35"/>
      <c r="N40" s="35"/>
      <c r="O40" s="35"/>
      <c r="P40" s="35">
        <v>1</v>
      </c>
      <c r="Q40" s="35">
        <f>309.01+424.8</f>
        <v>733.81</v>
      </c>
      <c r="R40" s="35"/>
      <c r="S40" s="35"/>
      <c r="T40" s="35">
        <f>10+28</f>
        <v>38</v>
      </c>
      <c r="U40" s="35">
        <f>3977+13769.8+37613.1</f>
        <v>55359.899999999994</v>
      </c>
      <c r="V40" s="35"/>
      <c r="W40" s="35"/>
      <c r="X40" s="35">
        <v>12</v>
      </c>
      <c r="Y40" s="35">
        <v>3529.98</v>
      </c>
      <c r="Z40" s="35"/>
      <c r="AA40" s="35"/>
      <c r="AB40" s="35"/>
      <c r="AC40" s="35"/>
      <c r="AD40" s="35">
        <v>9</v>
      </c>
      <c r="AE40" s="35">
        <v>4772.7</v>
      </c>
      <c r="AF40" s="35">
        <v>1</v>
      </c>
      <c r="AG40" s="35">
        <v>4353.5</v>
      </c>
      <c r="AH40" s="35">
        <v>2</v>
      </c>
      <c r="AI40" s="35">
        <v>691.48</v>
      </c>
      <c r="AJ40" s="35"/>
      <c r="AK40" s="35"/>
      <c r="AL40" s="35"/>
      <c r="AM40" s="35"/>
      <c r="AN40" s="36">
        <v>3</v>
      </c>
      <c r="AO40" s="36">
        <f>432.77+2429</f>
        <v>2861.77</v>
      </c>
      <c r="AP40" s="36"/>
      <c r="AQ40" s="35"/>
      <c r="AR40" s="35">
        <v>7</v>
      </c>
      <c r="AS40" s="35">
        <v>38896.129999999997</v>
      </c>
      <c r="AT40" s="35"/>
      <c r="AU40" s="35"/>
    </row>
    <row r="41" spans="1:47" s="7" customFormat="1" ht="15.75" customHeight="1" x14ac:dyDescent="0.35">
      <c r="A41" s="13" t="s">
        <v>274</v>
      </c>
      <c r="B41" s="33">
        <v>29043.599999999999</v>
      </c>
      <c r="C41" s="35">
        <f t="shared" si="0"/>
        <v>62684.66</v>
      </c>
      <c r="D41" s="35"/>
      <c r="E41" s="35"/>
      <c r="F41" s="35"/>
      <c r="G41" s="35"/>
      <c r="H41" s="35"/>
      <c r="I41" s="35"/>
      <c r="J41" s="35">
        <v>53</v>
      </c>
      <c r="K41" s="35">
        <f>475.06+31418.52</f>
        <v>31893.58</v>
      </c>
      <c r="L41" s="35"/>
      <c r="M41" s="35"/>
      <c r="N41" s="35"/>
      <c r="O41" s="35"/>
      <c r="P41" s="35">
        <v>9</v>
      </c>
      <c r="Q41" s="35">
        <v>4391</v>
      </c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6"/>
      <c r="AO41" s="36"/>
      <c r="AP41" s="36"/>
      <c r="AQ41" s="35"/>
      <c r="AR41" s="35">
        <v>5</v>
      </c>
      <c r="AS41" s="35">
        <v>26400.080000000002</v>
      </c>
      <c r="AT41" s="35"/>
      <c r="AU41" s="35"/>
    </row>
    <row r="42" spans="1:47" s="7" customFormat="1" ht="15.75" customHeight="1" x14ac:dyDescent="0.35">
      <c r="A42" s="13" t="s">
        <v>275</v>
      </c>
      <c r="B42" s="33">
        <v>135216.95999999999</v>
      </c>
      <c r="C42" s="35">
        <f t="shared" si="0"/>
        <v>356519.19999999995</v>
      </c>
      <c r="D42" s="35"/>
      <c r="E42" s="35"/>
      <c r="F42" s="35"/>
      <c r="G42" s="35"/>
      <c r="H42" s="35"/>
      <c r="I42" s="35"/>
      <c r="J42" s="35">
        <f>32+125</f>
        <v>157</v>
      </c>
      <c r="K42" s="35">
        <f>78521.25+9554.81+213.69</f>
        <v>88289.75</v>
      </c>
      <c r="L42" s="35">
        <v>46</v>
      </c>
      <c r="M42" s="35">
        <v>67219</v>
      </c>
      <c r="N42" s="35"/>
      <c r="O42" s="35"/>
      <c r="P42" s="35"/>
      <c r="Q42" s="35"/>
      <c r="R42" s="35">
        <v>4</v>
      </c>
      <c r="S42" s="35">
        <f>1108.7+3264.92+23787.9</f>
        <v>28161.52</v>
      </c>
      <c r="T42" s="35">
        <v>45</v>
      </c>
      <c r="U42" s="35">
        <f>6812.47+37915.53</f>
        <v>44728</v>
      </c>
      <c r="V42" s="35"/>
      <c r="W42" s="35"/>
      <c r="X42" s="35"/>
      <c r="Y42" s="35"/>
      <c r="Z42" s="35"/>
      <c r="AA42" s="35"/>
      <c r="AB42" s="35"/>
      <c r="AC42" s="35"/>
      <c r="AD42" s="35">
        <v>16</v>
      </c>
      <c r="AE42" s="35">
        <v>7253.84</v>
      </c>
      <c r="AF42" s="35"/>
      <c r="AG42" s="35"/>
      <c r="AH42" s="35"/>
      <c r="AI42" s="35"/>
      <c r="AJ42" s="35">
        <v>22</v>
      </c>
      <c r="AK42" s="35">
        <v>2655.38</v>
      </c>
      <c r="AL42" s="35">
        <v>2</v>
      </c>
      <c r="AM42" s="35">
        <f>2910.26+1711.3</f>
        <v>4621.5600000000004</v>
      </c>
      <c r="AN42" s="36">
        <v>2</v>
      </c>
      <c r="AO42" s="36">
        <f>432.77+869</f>
        <v>1301.77</v>
      </c>
      <c r="AP42" s="36"/>
      <c r="AQ42" s="35"/>
      <c r="AR42" s="35">
        <v>20</v>
      </c>
      <c r="AS42" s="35">
        <v>112288.38</v>
      </c>
      <c r="AT42" s="35"/>
      <c r="AU42" s="35"/>
    </row>
    <row r="43" spans="1:47" s="7" customFormat="1" ht="15.75" customHeight="1" x14ac:dyDescent="0.35">
      <c r="A43" s="13" t="s">
        <v>276</v>
      </c>
      <c r="B43" s="33">
        <v>112103.52</v>
      </c>
      <c r="C43" s="35">
        <f t="shared" si="0"/>
        <v>78307.259999999995</v>
      </c>
      <c r="D43" s="35"/>
      <c r="E43" s="35"/>
      <c r="F43" s="35"/>
      <c r="G43" s="35"/>
      <c r="H43" s="35"/>
      <c r="I43" s="35"/>
      <c r="J43" s="35">
        <v>3</v>
      </c>
      <c r="K43" s="35">
        <v>554.46</v>
      </c>
      <c r="L43" s="35"/>
      <c r="M43" s="35"/>
      <c r="N43" s="35"/>
      <c r="O43" s="35"/>
      <c r="P43" s="35">
        <v>11</v>
      </c>
      <c r="Q43" s="35">
        <f>532.57+5201</f>
        <v>5733.57</v>
      </c>
      <c r="R43" s="35"/>
      <c r="S43" s="35"/>
      <c r="T43" s="35">
        <v>1</v>
      </c>
      <c r="U43" s="35">
        <v>398</v>
      </c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6">
        <v>2</v>
      </c>
      <c r="AO43" s="36">
        <v>869</v>
      </c>
      <c r="AP43" s="36"/>
      <c r="AQ43" s="35"/>
      <c r="AR43" s="35">
        <v>13</v>
      </c>
      <c r="AS43" s="35">
        <v>70752.23</v>
      </c>
      <c r="AT43" s="35"/>
      <c r="AU43" s="35"/>
    </row>
    <row r="44" spans="1:47" s="7" customFormat="1" ht="15.75" customHeight="1" x14ac:dyDescent="0.35">
      <c r="A44" s="13" t="s">
        <v>277</v>
      </c>
      <c r="B44" s="33">
        <v>71503.08</v>
      </c>
      <c r="C44" s="35">
        <f t="shared" si="0"/>
        <v>48284.3</v>
      </c>
      <c r="D44" s="35"/>
      <c r="E44" s="35"/>
      <c r="F44" s="35"/>
      <c r="G44" s="35"/>
      <c r="H44" s="35"/>
      <c r="I44" s="35"/>
      <c r="J44" s="35">
        <v>1</v>
      </c>
      <c r="K44" s="35">
        <v>218.09</v>
      </c>
      <c r="L44" s="35"/>
      <c r="M44" s="35"/>
      <c r="N44" s="35"/>
      <c r="O44" s="35"/>
      <c r="P44" s="35">
        <v>4</v>
      </c>
      <c r="Q44" s="35">
        <f>3199.85+994</f>
        <v>4193.8500000000004</v>
      </c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>
        <v>20</v>
      </c>
      <c r="AK44" s="35">
        <v>1653.68</v>
      </c>
      <c r="AL44" s="35">
        <v>1</v>
      </c>
      <c r="AM44" s="35">
        <v>1711.3</v>
      </c>
      <c r="AN44" s="36">
        <v>3</v>
      </c>
      <c r="AO44" s="36">
        <f>1541.5+432.77+869</f>
        <v>2843.27</v>
      </c>
      <c r="AP44" s="36"/>
      <c r="AQ44" s="35"/>
      <c r="AR44" s="35">
        <v>7</v>
      </c>
      <c r="AS44" s="35">
        <v>37664.11</v>
      </c>
      <c r="AT44" s="35"/>
      <c r="AU44" s="35"/>
    </row>
    <row r="45" spans="1:47" s="7" customFormat="1" ht="15.75" customHeight="1" x14ac:dyDescent="0.35">
      <c r="A45" s="13" t="s">
        <v>394</v>
      </c>
      <c r="B45" s="33">
        <v>61282.44</v>
      </c>
      <c r="C45" s="35">
        <f t="shared" si="0"/>
        <v>59277.94</v>
      </c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>
        <v>9</v>
      </c>
      <c r="Q45" s="35">
        <f>4208</f>
        <v>4208</v>
      </c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6">
        <v>2</v>
      </c>
      <c r="AO45" s="36">
        <f>432.77+869</f>
        <v>1301.77</v>
      </c>
      <c r="AP45" s="36"/>
      <c r="AQ45" s="35"/>
      <c r="AR45" s="35">
        <v>10</v>
      </c>
      <c r="AS45" s="35">
        <v>53768.17</v>
      </c>
      <c r="AT45" s="35"/>
      <c r="AU45" s="35"/>
    </row>
    <row r="46" spans="1:47" s="7" customFormat="1" ht="15.75" customHeight="1" x14ac:dyDescent="0.35">
      <c r="A46" s="13" t="s">
        <v>325</v>
      </c>
      <c r="B46" s="33">
        <v>19336.560000000001</v>
      </c>
      <c r="C46" s="35">
        <f t="shared" si="0"/>
        <v>59085.082999999999</v>
      </c>
      <c r="D46" s="35">
        <v>10</v>
      </c>
      <c r="E46" s="35">
        <v>4563.7299999999996</v>
      </c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>
        <f>7+15+2</f>
        <v>24</v>
      </c>
      <c r="Q46" s="35">
        <f>610+6415.55+655.24+2973.6</f>
        <v>10654.39</v>
      </c>
      <c r="R46" s="35">
        <v>1</v>
      </c>
      <c r="S46" s="35">
        <v>367.48</v>
      </c>
      <c r="T46" s="35">
        <v>7</v>
      </c>
      <c r="U46" s="35">
        <v>11696.4</v>
      </c>
      <c r="V46" s="35"/>
      <c r="W46" s="35"/>
      <c r="X46" s="35"/>
      <c r="Y46" s="35"/>
      <c r="Z46" s="35">
        <v>4</v>
      </c>
      <c r="AA46" s="35">
        <v>1101.223</v>
      </c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6">
        <v>2</v>
      </c>
      <c r="AO46" s="36">
        <f>432.77+2021</f>
        <v>2453.77</v>
      </c>
      <c r="AP46" s="36"/>
      <c r="AQ46" s="35"/>
      <c r="AR46" s="35">
        <v>5</v>
      </c>
      <c r="AS46" s="35">
        <v>28248.09</v>
      </c>
      <c r="AT46" s="35"/>
      <c r="AU46" s="35"/>
    </row>
    <row r="47" spans="1:47" s="7" customFormat="1" ht="14.25" customHeight="1" x14ac:dyDescent="0.35">
      <c r="A47" s="13" t="s">
        <v>326</v>
      </c>
      <c r="B47" s="33">
        <v>142794.35999999999</v>
      </c>
      <c r="C47" s="35">
        <f t="shared" si="0"/>
        <v>67022.805200000003</v>
      </c>
      <c r="D47" s="35"/>
      <c r="E47" s="35"/>
      <c r="F47" s="35"/>
      <c r="G47" s="35"/>
      <c r="H47" s="35"/>
      <c r="I47" s="35"/>
      <c r="J47" s="35">
        <v>46</v>
      </c>
      <c r="K47" s="35">
        <f>475.06+4582.1642</f>
        <v>5057.2242000000006</v>
      </c>
      <c r="L47" s="35"/>
      <c r="M47" s="35"/>
      <c r="N47" s="35"/>
      <c r="O47" s="35"/>
      <c r="P47" s="35">
        <v>54</v>
      </c>
      <c r="Q47" s="35">
        <f>8169.64+7587.08</f>
        <v>15756.720000000001</v>
      </c>
      <c r="R47" s="35"/>
      <c r="S47" s="35"/>
      <c r="T47" s="35"/>
      <c r="U47" s="35"/>
      <c r="V47" s="35"/>
      <c r="W47" s="35"/>
      <c r="X47" s="35">
        <v>4</v>
      </c>
      <c r="Y47" s="35">
        <v>4781</v>
      </c>
      <c r="Z47" s="35"/>
      <c r="AA47" s="35"/>
      <c r="AB47" s="35"/>
      <c r="AC47" s="35"/>
      <c r="AD47" s="35">
        <v>48</v>
      </c>
      <c r="AE47" s="35">
        <f>2367.741+1878.15+18712.07+990.94</f>
        <v>23948.900999999998</v>
      </c>
      <c r="AF47" s="35"/>
      <c r="AG47" s="35"/>
      <c r="AH47" s="35">
        <v>2</v>
      </c>
      <c r="AI47" s="35">
        <f>1244.28+12561+811.91</f>
        <v>14617.19</v>
      </c>
      <c r="AJ47" s="35"/>
      <c r="AK47" s="35"/>
      <c r="AL47" s="35">
        <v>25</v>
      </c>
      <c r="AM47" s="35">
        <v>1560</v>
      </c>
      <c r="AN47" s="36">
        <v>3</v>
      </c>
      <c r="AO47" s="36">
        <f>432.77+869</f>
        <v>1301.77</v>
      </c>
      <c r="AP47" s="36"/>
      <c r="AQ47" s="35"/>
      <c r="AR47" s="35"/>
      <c r="AS47" s="35"/>
      <c r="AT47" s="35"/>
      <c r="AU47" s="35"/>
    </row>
    <row r="48" spans="1:47" s="7" customFormat="1" ht="15.5" x14ac:dyDescent="0.35">
      <c r="A48" s="13" t="s">
        <v>327</v>
      </c>
      <c r="B48" s="33">
        <v>225481.2</v>
      </c>
      <c r="C48" s="35">
        <f t="shared" si="0"/>
        <v>42034.420000000006</v>
      </c>
      <c r="D48" s="35"/>
      <c r="E48" s="35"/>
      <c r="F48" s="35"/>
      <c r="G48" s="35"/>
      <c r="H48" s="35"/>
      <c r="I48" s="35"/>
      <c r="J48" s="35">
        <v>3</v>
      </c>
      <c r="K48" s="35">
        <v>475.06</v>
      </c>
      <c r="L48" s="35"/>
      <c r="M48" s="35"/>
      <c r="N48" s="35"/>
      <c r="O48" s="35"/>
      <c r="P48" s="35">
        <v>2</v>
      </c>
      <c r="Q48" s="35">
        <v>994</v>
      </c>
      <c r="R48" s="35">
        <v>1</v>
      </c>
      <c r="S48" s="35">
        <v>18808.7</v>
      </c>
      <c r="T48" s="35"/>
      <c r="U48" s="35"/>
      <c r="V48" s="35"/>
      <c r="W48" s="35"/>
      <c r="X48" s="35">
        <v>21</v>
      </c>
      <c r="Y48" s="35">
        <v>6893.77</v>
      </c>
      <c r="Z48" s="35"/>
      <c r="AA48" s="35"/>
      <c r="AB48" s="35"/>
      <c r="AC48" s="35"/>
      <c r="AD48" s="35">
        <v>6</v>
      </c>
      <c r="AE48" s="35">
        <v>3201</v>
      </c>
      <c r="AF48" s="35"/>
      <c r="AG48" s="35"/>
      <c r="AH48" s="35"/>
      <c r="AI48" s="35"/>
      <c r="AJ48" s="35">
        <v>47</v>
      </c>
      <c r="AK48" s="35">
        <v>8364.57</v>
      </c>
      <c r="AL48" s="35">
        <v>2</v>
      </c>
      <c r="AM48" s="35">
        <v>1258.55</v>
      </c>
      <c r="AN48" s="36">
        <v>2</v>
      </c>
      <c r="AO48" s="36">
        <f>432.77+1606</f>
        <v>2038.77</v>
      </c>
      <c r="AP48" s="36"/>
      <c r="AQ48" s="35"/>
      <c r="AR48" s="35"/>
      <c r="AS48" s="35"/>
      <c r="AT48" s="35"/>
      <c r="AU48" s="35"/>
    </row>
    <row r="49" spans="1:47" s="7" customFormat="1" ht="15.75" customHeight="1" x14ac:dyDescent="0.35">
      <c r="A49" s="13" t="s">
        <v>375</v>
      </c>
      <c r="B49" s="33">
        <v>154673.04</v>
      </c>
      <c r="C49" s="35">
        <f t="shared" si="0"/>
        <v>529391.51</v>
      </c>
      <c r="D49" s="35"/>
      <c r="E49" s="35"/>
      <c r="F49" s="35"/>
      <c r="G49" s="35"/>
      <c r="H49" s="35"/>
      <c r="I49" s="35"/>
      <c r="J49" s="35">
        <v>567</v>
      </c>
      <c r="K49" s="35">
        <f>475.06+92350.8+99261.41+78529.59+62817+3407+9445.96+9554.81</f>
        <v>355841.63</v>
      </c>
      <c r="L49" s="35">
        <v>460</v>
      </c>
      <c r="M49" s="35">
        <v>158708</v>
      </c>
      <c r="N49" s="35"/>
      <c r="O49" s="35"/>
      <c r="P49" s="35">
        <v>7</v>
      </c>
      <c r="Q49" s="35">
        <f>367.11+977</f>
        <v>1344.1100000000001</v>
      </c>
      <c r="R49" s="35"/>
      <c r="S49" s="35"/>
      <c r="T49" s="35"/>
      <c r="U49" s="35"/>
      <c r="V49" s="35"/>
      <c r="W49" s="35"/>
      <c r="X49" s="35"/>
      <c r="Y49" s="35"/>
      <c r="Z49" s="35">
        <v>12</v>
      </c>
      <c r="AA49" s="35">
        <v>11665</v>
      </c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6">
        <v>2</v>
      </c>
      <c r="AO49" s="36">
        <f>432.77+1400</f>
        <v>1832.77</v>
      </c>
      <c r="AP49" s="36"/>
      <c r="AQ49" s="35"/>
      <c r="AR49" s="35"/>
      <c r="AS49" s="35"/>
      <c r="AT49" s="35"/>
      <c r="AU49" s="35"/>
    </row>
    <row r="50" spans="1:47" s="7" customFormat="1" ht="15.5" x14ac:dyDescent="0.35">
      <c r="A50" s="13" t="s">
        <v>376</v>
      </c>
      <c r="B50" s="33">
        <v>63297.96</v>
      </c>
      <c r="C50" s="35">
        <f t="shared" si="0"/>
        <v>40565.369999999995</v>
      </c>
      <c r="D50" s="35"/>
      <c r="E50" s="35"/>
      <c r="F50" s="35"/>
      <c r="G50" s="35"/>
      <c r="H50" s="35"/>
      <c r="I50" s="35"/>
      <c r="J50" s="35">
        <v>3</v>
      </c>
      <c r="K50" s="35">
        <v>475.06</v>
      </c>
      <c r="L50" s="35"/>
      <c r="M50" s="35"/>
      <c r="N50" s="35"/>
      <c r="O50" s="35"/>
      <c r="P50" s="35">
        <v>10</v>
      </c>
      <c r="Q50" s="35">
        <v>2520</v>
      </c>
      <c r="R50" s="35">
        <v>4</v>
      </c>
      <c r="S50" s="35">
        <f>766.07+2067</f>
        <v>2833.07</v>
      </c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>
        <v>2</v>
      </c>
      <c r="AE50" s="35">
        <f>6170.04+1606</f>
        <v>7776.04</v>
      </c>
      <c r="AF50" s="35"/>
      <c r="AG50" s="35"/>
      <c r="AH50" s="35"/>
      <c r="AI50" s="35"/>
      <c r="AJ50" s="35">
        <v>56</v>
      </c>
      <c r="AK50" s="35">
        <v>4370.8100000000004</v>
      </c>
      <c r="AL50" s="35">
        <v>20</v>
      </c>
      <c r="AM50" s="35">
        <v>9832.26</v>
      </c>
      <c r="AN50" s="36">
        <v>9</v>
      </c>
      <c r="AO50" s="36">
        <f>11455.86+432.77+869.5</f>
        <v>12758.130000000001</v>
      </c>
      <c r="AP50" s="36"/>
      <c r="AQ50" s="35"/>
      <c r="AR50" s="35"/>
      <c r="AS50" s="35"/>
      <c r="AT50" s="35"/>
      <c r="AU50" s="35"/>
    </row>
    <row r="51" spans="1:47" s="7" customFormat="1" ht="15.75" customHeight="1" x14ac:dyDescent="0.35">
      <c r="A51" s="13" t="s">
        <v>377</v>
      </c>
      <c r="B51" s="33">
        <v>109295.52</v>
      </c>
      <c r="C51" s="35">
        <f t="shared" si="0"/>
        <v>30380.2</v>
      </c>
      <c r="D51" s="35"/>
      <c r="E51" s="35"/>
      <c r="F51" s="35"/>
      <c r="G51" s="35"/>
      <c r="H51" s="35"/>
      <c r="I51" s="35"/>
      <c r="J51" s="35">
        <v>3</v>
      </c>
      <c r="K51" s="35">
        <v>475.06</v>
      </c>
      <c r="L51" s="35"/>
      <c r="M51" s="35"/>
      <c r="N51" s="35"/>
      <c r="O51" s="35"/>
      <c r="P51" s="35">
        <v>5</v>
      </c>
      <c r="Q51" s="35">
        <f>1306.71+1135</f>
        <v>2441.71</v>
      </c>
      <c r="R51" s="35"/>
      <c r="S51" s="35"/>
      <c r="T51" s="35">
        <v>1</v>
      </c>
      <c r="U51" s="35">
        <v>3403.96</v>
      </c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>
        <v>7</v>
      </c>
      <c r="AI51" s="35">
        <v>4189.63</v>
      </c>
      <c r="AJ51" s="35"/>
      <c r="AK51" s="35"/>
      <c r="AL51" s="35"/>
      <c r="AM51" s="35"/>
      <c r="AN51" s="36">
        <v>8</v>
      </c>
      <c r="AO51" s="36">
        <f>432.77+869</f>
        <v>1301.77</v>
      </c>
      <c r="AP51" s="36"/>
      <c r="AQ51" s="35"/>
      <c r="AR51" s="35">
        <v>3</v>
      </c>
      <c r="AS51" s="35">
        <v>18568.07</v>
      </c>
      <c r="AT51" s="35"/>
      <c r="AU51" s="35"/>
    </row>
    <row r="52" spans="1:47" s="7" customFormat="1" ht="15.75" customHeight="1" x14ac:dyDescent="0.35">
      <c r="A52" s="13" t="s">
        <v>378</v>
      </c>
      <c r="B52" s="33">
        <v>184829.88</v>
      </c>
      <c r="C52" s="35">
        <f t="shared" si="0"/>
        <v>161329.47999999998</v>
      </c>
      <c r="D52" s="35"/>
      <c r="E52" s="35"/>
      <c r="F52" s="35"/>
      <c r="G52" s="35"/>
      <c r="H52" s="35"/>
      <c r="I52" s="35"/>
      <c r="J52" s="35">
        <v>6</v>
      </c>
      <c r="K52" s="35">
        <v>9500.1200000000008</v>
      </c>
      <c r="L52" s="35">
        <v>340</v>
      </c>
      <c r="M52" s="35">
        <v>123466</v>
      </c>
      <c r="N52" s="35"/>
      <c r="O52" s="35"/>
      <c r="P52" s="35">
        <v>14</v>
      </c>
      <c r="Q52" s="35">
        <v>10448.370000000001</v>
      </c>
      <c r="R52" s="35"/>
      <c r="S52" s="35"/>
      <c r="T52" s="35">
        <v>1</v>
      </c>
      <c r="U52" s="35">
        <v>4189.63</v>
      </c>
      <c r="V52" s="35"/>
      <c r="W52" s="35"/>
      <c r="X52" s="35">
        <v>4.5</v>
      </c>
      <c r="Y52" s="35">
        <v>1402.49</v>
      </c>
      <c r="Z52" s="35"/>
      <c r="AA52" s="35"/>
      <c r="AB52" s="35"/>
      <c r="AC52" s="35"/>
      <c r="AD52" s="35">
        <v>6</v>
      </c>
      <c r="AE52" s="35">
        <v>6220</v>
      </c>
      <c r="AF52" s="35"/>
      <c r="AG52" s="35"/>
      <c r="AH52" s="35"/>
      <c r="AI52" s="35"/>
      <c r="AJ52" s="35"/>
      <c r="AK52" s="35"/>
      <c r="AL52" s="35"/>
      <c r="AM52" s="35"/>
      <c r="AN52" s="36">
        <v>4</v>
      </c>
      <c r="AO52" s="36">
        <f>2256.1+432.77+3414</f>
        <v>6102.87</v>
      </c>
      <c r="AP52" s="36"/>
      <c r="AQ52" s="35"/>
      <c r="AR52" s="35"/>
      <c r="AS52" s="35"/>
      <c r="AT52" s="35"/>
      <c r="AU52" s="35"/>
    </row>
    <row r="53" spans="1:47" s="7" customFormat="1" ht="15.75" customHeight="1" x14ac:dyDescent="0.35">
      <c r="A53" s="13" t="s">
        <v>379</v>
      </c>
      <c r="B53" s="33">
        <v>253335</v>
      </c>
      <c r="C53" s="35">
        <f t="shared" si="0"/>
        <v>93978.911999999997</v>
      </c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>
        <v>9</v>
      </c>
      <c r="Q53" s="35">
        <v>4350.8900000000003</v>
      </c>
      <c r="R53" s="35">
        <v>1</v>
      </c>
      <c r="S53" s="35">
        <v>24847.599999999999</v>
      </c>
      <c r="T53" s="35">
        <v>3</v>
      </c>
      <c r="U53" s="35">
        <v>9681.0300000000007</v>
      </c>
      <c r="V53" s="35"/>
      <c r="W53" s="35"/>
      <c r="X53" s="35">
        <v>5</v>
      </c>
      <c r="Y53" s="35">
        <v>1558.3119999999999</v>
      </c>
      <c r="Z53" s="35"/>
      <c r="AA53" s="35"/>
      <c r="AB53" s="35"/>
      <c r="AC53" s="35"/>
      <c r="AD53" s="35">
        <v>40</v>
      </c>
      <c r="AE53" s="35">
        <f>4971.74+8788.57+38479</f>
        <v>52239.31</v>
      </c>
      <c r="AF53" s="35"/>
      <c r="AG53" s="35"/>
      <c r="AH53" s="35"/>
      <c r="AI53" s="35"/>
      <c r="AJ53" s="35"/>
      <c r="AK53" s="35"/>
      <c r="AL53" s="35"/>
      <c r="AM53" s="35"/>
      <c r="AN53" s="36">
        <v>2</v>
      </c>
      <c r="AO53" s="36">
        <f>432.77+869</f>
        <v>1301.77</v>
      </c>
      <c r="AP53" s="36"/>
      <c r="AQ53" s="35"/>
      <c r="AR53" s="35"/>
      <c r="AS53" s="35"/>
      <c r="AT53" s="35"/>
      <c r="AU53" s="35"/>
    </row>
    <row r="54" spans="1:47" s="7" customFormat="1" ht="15.75" customHeight="1" x14ac:dyDescent="0.35">
      <c r="A54" s="13" t="s">
        <v>380</v>
      </c>
      <c r="B54" s="33">
        <v>85328.639999999999</v>
      </c>
      <c r="C54" s="35">
        <f t="shared" si="0"/>
        <v>235679.71399999998</v>
      </c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>
        <v>13</v>
      </c>
      <c r="Q54" s="35">
        <v>4582</v>
      </c>
      <c r="R54" s="35">
        <v>1</v>
      </c>
      <c r="S54" s="35">
        <v>1145.9000000000001</v>
      </c>
      <c r="T54" s="35">
        <v>6</v>
      </c>
      <c r="U54" s="35">
        <f>3767.69+22684.4</f>
        <v>26452.09</v>
      </c>
      <c r="V54" s="35"/>
      <c r="W54" s="35"/>
      <c r="X54" s="35">
        <v>6.5</v>
      </c>
      <c r="Y54" s="35">
        <f>583.66+779.154</f>
        <v>1362.8139999999999</v>
      </c>
      <c r="Z54" s="35"/>
      <c r="AA54" s="35"/>
      <c r="AB54" s="35"/>
      <c r="AC54" s="35"/>
      <c r="AD54" s="35">
        <v>13</v>
      </c>
      <c r="AE54" s="35">
        <v>38217</v>
      </c>
      <c r="AF54" s="35"/>
      <c r="AG54" s="35"/>
      <c r="AH54" s="35"/>
      <c r="AI54" s="35"/>
      <c r="AJ54" s="35">
        <v>20</v>
      </c>
      <c r="AK54" s="35">
        <v>4217.62</v>
      </c>
      <c r="AL54" s="35"/>
      <c r="AM54" s="35"/>
      <c r="AN54" s="36">
        <v>2</v>
      </c>
      <c r="AO54" s="36">
        <f>432.77+869</f>
        <v>1301.77</v>
      </c>
      <c r="AP54" s="36"/>
      <c r="AQ54" s="35"/>
      <c r="AR54" s="35">
        <v>29</v>
      </c>
      <c r="AS54" s="35">
        <v>158400.51999999999</v>
      </c>
      <c r="AT54" s="35"/>
      <c r="AU54" s="35"/>
    </row>
    <row r="55" spans="1:47" s="7" customFormat="1" ht="15.75" customHeight="1" x14ac:dyDescent="0.35">
      <c r="A55" s="13" t="s">
        <v>381</v>
      </c>
      <c r="B55" s="33">
        <v>552041.88</v>
      </c>
      <c r="C55" s="35">
        <f t="shared" si="0"/>
        <v>831443.04279999994</v>
      </c>
      <c r="D55" s="35"/>
      <c r="E55" s="35"/>
      <c r="F55" s="35"/>
      <c r="G55" s="35"/>
      <c r="H55" s="35"/>
      <c r="I55" s="35"/>
      <c r="J55" s="35">
        <v>9</v>
      </c>
      <c r="K55" s="35">
        <v>1425.18</v>
      </c>
      <c r="L55" s="35">
        <v>584</v>
      </c>
      <c r="M55" s="35">
        <v>121079</v>
      </c>
      <c r="N55" s="35"/>
      <c r="O55" s="35"/>
      <c r="P55" s="35">
        <v>55</v>
      </c>
      <c r="Q55" s="35">
        <f>995.79+7519.09+16315</f>
        <v>24829.88</v>
      </c>
      <c r="R55" s="35">
        <v>4</v>
      </c>
      <c r="S55" s="35">
        <f>766.07+376.479</f>
        <v>1142.549</v>
      </c>
      <c r="T55" s="35">
        <v>28</v>
      </c>
      <c r="U55" s="35">
        <f>1930.62+5155.49+10584.2+11501.5</f>
        <v>29171.81</v>
      </c>
      <c r="V55" s="35">
        <v>2.2999999999999998</v>
      </c>
      <c r="W55" s="35">
        <v>2967.68</v>
      </c>
      <c r="X55" s="35">
        <v>4.5999999999999996</v>
      </c>
      <c r="Y55" s="35">
        <f>794.07+666.8534</f>
        <v>1460.9234000000001</v>
      </c>
      <c r="Z55" s="35">
        <v>2.1</v>
      </c>
      <c r="AA55" s="35">
        <v>5781.4340000000002</v>
      </c>
      <c r="AB55" s="35"/>
      <c r="AC55" s="35"/>
      <c r="AD55" s="35">
        <f>74+148+24</f>
        <v>246</v>
      </c>
      <c r="AE55" s="35">
        <f>34900.7+235122.1264+18800</f>
        <v>288822.82640000002</v>
      </c>
      <c r="AF55" s="35"/>
      <c r="AG55" s="35"/>
      <c r="AH55" s="35">
        <f>12+61+6</f>
        <v>79</v>
      </c>
      <c r="AI55" s="35">
        <f>4959.7+24357+2208.77+4192</f>
        <v>35717.47</v>
      </c>
      <c r="AJ55" s="35"/>
      <c r="AK55" s="35"/>
      <c r="AL55" s="35">
        <v>8</v>
      </c>
      <c r="AM55" s="35">
        <v>3082.16</v>
      </c>
      <c r="AN55" s="36">
        <v>9</v>
      </c>
      <c r="AO55" s="36">
        <f>432.77+1080</f>
        <v>1512.77</v>
      </c>
      <c r="AP55" s="36"/>
      <c r="AQ55" s="35"/>
      <c r="AR55" s="35">
        <v>58</v>
      </c>
      <c r="AS55" s="35">
        <v>317417.03999999998</v>
      </c>
      <c r="AT55" s="35"/>
      <c r="AU55" s="35"/>
    </row>
    <row r="56" spans="1:47" s="7" customFormat="1" ht="15.75" customHeight="1" x14ac:dyDescent="0.35">
      <c r="A56" s="13" t="s">
        <v>382</v>
      </c>
      <c r="B56" s="33">
        <v>207940.56</v>
      </c>
      <c r="C56" s="35">
        <f t="shared" si="0"/>
        <v>305073.75</v>
      </c>
      <c r="D56" s="35"/>
      <c r="E56" s="35"/>
      <c r="F56" s="35"/>
      <c r="G56" s="35"/>
      <c r="H56" s="35"/>
      <c r="I56" s="35"/>
      <c r="J56" s="35">
        <v>17</v>
      </c>
      <c r="K56" s="35">
        <f>475.06+3910.28</f>
        <v>4385.34</v>
      </c>
      <c r="L56" s="35">
        <v>334</v>
      </c>
      <c r="M56" s="35">
        <v>138388</v>
      </c>
      <c r="N56" s="35"/>
      <c r="O56" s="35"/>
      <c r="P56" s="35">
        <v>27</v>
      </c>
      <c r="Q56" s="35">
        <v>4208</v>
      </c>
      <c r="R56" s="35">
        <v>7</v>
      </c>
      <c r="S56" s="35">
        <f>383.03+752.95+1129.43</f>
        <v>2265.41</v>
      </c>
      <c r="T56" s="35">
        <v>10</v>
      </c>
      <c r="U56" s="35">
        <v>11864.8</v>
      </c>
      <c r="V56" s="35"/>
      <c r="W56" s="35"/>
      <c r="X56" s="35">
        <v>6</v>
      </c>
      <c r="Y56" s="35">
        <v>8269</v>
      </c>
      <c r="Z56" s="35"/>
      <c r="AA56" s="35"/>
      <c r="AB56" s="35"/>
      <c r="AC56" s="35"/>
      <c r="AD56" s="35">
        <v>6</v>
      </c>
      <c r="AE56" s="35">
        <f>7924.01</f>
        <v>7924.01</v>
      </c>
      <c r="AF56" s="35"/>
      <c r="AG56" s="35"/>
      <c r="AH56" s="35"/>
      <c r="AI56" s="35"/>
      <c r="AJ56" s="35"/>
      <c r="AK56" s="35"/>
      <c r="AL56" s="35"/>
      <c r="AM56" s="35"/>
      <c r="AN56" s="36">
        <v>2</v>
      </c>
      <c r="AO56" s="36">
        <v>432.77</v>
      </c>
      <c r="AP56" s="36"/>
      <c r="AQ56" s="35"/>
      <c r="AR56" s="35">
        <v>23</v>
      </c>
      <c r="AS56" s="35">
        <v>127336.42</v>
      </c>
      <c r="AT56" s="35"/>
      <c r="AU56" s="35"/>
    </row>
    <row r="57" spans="1:47" s="7" customFormat="1" ht="15.75" customHeight="1" x14ac:dyDescent="0.35">
      <c r="A57" s="13" t="s">
        <v>383</v>
      </c>
      <c r="B57" s="33">
        <v>58974</v>
      </c>
      <c r="C57" s="35">
        <f t="shared" si="0"/>
        <v>227609.96400000004</v>
      </c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>
        <v>9</v>
      </c>
      <c r="Q57" s="35">
        <v>2601</v>
      </c>
      <c r="R57" s="35"/>
      <c r="S57" s="35"/>
      <c r="T57" s="35">
        <v>6</v>
      </c>
      <c r="U57" s="35">
        <v>18989.900000000001</v>
      </c>
      <c r="V57" s="35"/>
      <c r="W57" s="35"/>
      <c r="X57" s="35"/>
      <c r="Y57" s="35"/>
      <c r="Z57" s="35"/>
      <c r="AA57" s="35"/>
      <c r="AB57" s="35"/>
      <c r="AC57" s="35"/>
      <c r="AD57" s="35">
        <v>20</v>
      </c>
      <c r="AE57" s="35">
        <f>35822.35+11283.35</f>
        <v>47105.7</v>
      </c>
      <c r="AF57" s="35">
        <v>1</v>
      </c>
      <c r="AG57" s="35">
        <v>3974.94</v>
      </c>
      <c r="AH57" s="35"/>
      <c r="AI57" s="35"/>
      <c r="AJ57" s="35">
        <v>20</v>
      </c>
      <c r="AK57" s="35">
        <v>496.10700000000003</v>
      </c>
      <c r="AL57" s="35">
        <v>2</v>
      </c>
      <c r="AM57" s="35">
        <v>244.43700000000001</v>
      </c>
      <c r="AN57" s="36">
        <v>3</v>
      </c>
      <c r="AO57" s="36">
        <f>432.77+869</f>
        <v>1301.77</v>
      </c>
      <c r="AP57" s="36"/>
      <c r="AQ57" s="35">
        <v>44127.76</v>
      </c>
      <c r="AR57" s="35">
        <v>20</v>
      </c>
      <c r="AS57" s="35">
        <v>108768.35</v>
      </c>
      <c r="AT57" s="35"/>
      <c r="AU57" s="35"/>
    </row>
    <row r="58" spans="1:47" s="7" customFormat="1" ht="15.75" customHeight="1" x14ac:dyDescent="0.35">
      <c r="A58" s="13" t="s">
        <v>384</v>
      </c>
      <c r="B58" s="33">
        <v>227161.24</v>
      </c>
      <c r="C58" s="35">
        <f t="shared" si="0"/>
        <v>252999.10500000001</v>
      </c>
      <c r="D58" s="35"/>
      <c r="E58" s="35"/>
      <c r="F58" s="35"/>
      <c r="G58" s="35"/>
      <c r="H58" s="35"/>
      <c r="I58" s="35"/>
      <c r="J58" s="35">
        <v>10</v>
      </c>
      <c r="K58" s="35">
        <v>10981.9</v>
      </c>
      <c r="L58" s="35"/>
      <c r="M58" s="35"/>
      <c r="N58" s="35"/>
      <c r="O58" s="35"/>
      <c r="P58" s="35">
        <v>27</v>
      </c>
      <c r="Q58" s="35">
        <f>3771.03+7446</f>
        <v>11217.03</v>
      </c>
      <c r="R58" s="35">
        <v>4</v>
      </c>
      <c r="S58" s="35">
        <f>376.479+376.479+933.38</f>
        <v>1686.338</v>
      </c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>
        <v>56</v>
      </c>
      <c r="AE58" s="35">
        <f>22796.03+6909.78+8300.214+1589.023+18636.82</f>
        <v>58231.866999999998</v>
      </c>
      <c r="AF58" s="35"/>
      <c r="AG58" s="35"/>
      <c r="AH58" s="35">
        <v>15</v>
      </c>
      <c r="AI58" s="35">
        <v>3398.66</v>
      </c>
      <c r="AJ58" s="35"/>
      <c r="AK58" s="35"/>
      <c r="AL58" s="35"/>
      <c r="AM58" s="35"/>
      <c r="AN58" s="36">
        <v>2</v>
      </c>
      <c r="AO58" s="36">
        <f>432.77+1170</f>
        <v>1602.77</v>
      </c>
      <c r="AP58" s="36"/>
      <c r="AQ58" s="35"/>
      <c r="AR58" s="35">
        <v>30</v>
      </c>
      <c r="AS58" s="35">
        <v>165880.54</v>
      </c>
      <c r="AT58" s="35"/>
      <c r="AU58" s="35"/>
    </row>
    <row r="59" spans="1:47" s="7" customFormat="1" ht="15.75" customHeight="1" x14ac:dyDescent="0.35">
      <c r="A59" s="13" t="s">
        <v>385</v>
      </c>
      <c r="B59" s="33">
        <v>144634.79999999999</v>
      </c>
      <c r="C59" s="35">
        <f t="shared" si="0"/>
        <v>165066.20499999999</v>
      </c>
      <c r="D59" s="35"/>
      <c r="E59" s="35"/>
      <c r="F59" s="35"/>
      <c r="G59" s="35"/>
      <c r="H59" s="35"/>
      <c r="I59" s="35"/>
      <c r="J59" s="35"/>
      <c r="K59" s="35"/>
      <c r="L59" s="35">
        <v>280</v>
      </c>
      <c r="M59" s="35">
        <v>151970</v>
      </c>
      <c r="N59" s="35"/>
      <c r="O59" s="35"/>
      <c r="P59" s="35">
        <v>6</v>
      </c>
      <c r="Q59" s="35">
        <v>2508</v>
      </c>
      <c r="R59" s="35"/>
      <c r="S59" s="35"/>
      <c r="T59" s="35">
        <v>1</v>
      </c>
      <c r="U59" s="35">
        <v>3403.96</v>
      </c>
      <c r="V59" s="35"/>
      <c r="W59" s="35"/>
      <c r="X59" s="35">
        <v>3.5</v>
      </c>
      <c r="Y59" s="35">
        <v>1095.241</v>
      </c>
      <c r="Z59" s="35"/>
      <c r="AA59" s="35"/>
      <c r="AB59" s="35"/>
      <c r="AC59" s="35"/>
      <c r="AD59" s="35">
        <v>3</v>
      </c>
      <c r="AE59" s="35">
        <v>3601.56</v>
      </c>
      <c r="AF59" s="35"/>
      <c r="AG59" s="35"/>
      <c r="AH59" s="35">
        <v>7</v>
      </c>
      <c r="AI59" s="35">
        <v>315</v>
      </c>
      <c r="AJ59" s="35">
        <v>12</v>
      </c>
      <c r="AK59" s="35">
        <v>496.10700000000003</v>
      </c>
      <c r="AL59" s="35">
        <v>3</v>
      </c>
      <c r="AM59" s="35">
        <v>374.56700000000001</v>
      </c>
      <c r="AN59" s="36">
        <v>2</v>
      </c>
      <c r="AO59" s="36">
        <f>432.77+869</f>
        <v>1301.77</v>
      </c>
      <c r="AP59" s="36"/>
      <c r="AQ59" s="35"/>
      <c r="AR59" s="35"/>
      <c r="AS59" s="35"/>
      <c r="AT59" s="35"/>
      <c r="AU59" s="35"/>
    </row>
    <row r="60" spans="1:47" s="7" customFormat="1" ht="15.75" customHeight="1" x14ac:dyDescent="0.35">
      <c r="A60" s="13" t="s">
        <v>374</v>
      </c>
      <c r="B60" s="33">
        <v>165147</v>
      </c>
      <c r="C60" s="35">
        <f t="shared" si="0"/>
        <v>146674.83899999998</v>
      </c>
      <c r="D60" s="35"/>
      <c r="E60" s="35"/>
      <c r="F60" s="35"/>
      <c r="G60" s="35"/>
      <c r="H60" s="35"/>
      <c r="I60" s="35"/>
      <c r="J60" s="35">
        <v>3</v>
      </c>
      <c r="K60" s="35">
        <v>475.06</v>
      </c>
      <c r="L60" s="35"/>
      <c r="M60" s="35"/>
      <c r="N60" s="35"/>
      <c r="O60" s="35"/>
      <c r="P60" s="35">
        <v>14</v>
      </c>
      <c r="Q60" s="35">
        <v>7046</v>
      </c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>
        <v>7</v>
      </c>
      <c r="AI60" s="35">
        <v>4556.74</v>
      </c>
      <c r="AJ60" s="35">
        <v>12</v>
      </c>
      <c r="AK60" s="35">
        <v>496.10700000000003</v>
      </c>
      <c r="AL60" s="35">
        <v>3</v>
      </c>
      <c r="AM60" s="35">
        <v>358.73200000000003</v>
      </c>
      <c r="AN60" s="36">
        <v>2</v>
      </c>
      <c r="AO60" s="36">
        <f>432.77+869</f>
        <v>1301.77</v>
      </c>
      <c r="AP60" s="36"/>
      <c r="AQ60" s="35"/>
      <c r="AR60" s="35">
        <v>24</v>
      </c>
      <c r="AS60" s="35">
        <v>132440.43</v>
      </c>
      <c r="AT60" s="35"/>
      <c r="AU60" s="35"/>
    </row>
    <row r="61" spans="1:47" s="7" customFormat="1" ht="15.75" customHeight="1" x14ac:dyDescent="0.35">
      <c r="A61" s="13" t="s">
        <v>373</v>
      </c>
      <c r="B61" s="33">
        <v>83050.559999999998</v>
      </c>
      <c r="C61" s="35">
        <f t="shared" si="0"/>
        <v>45053.03</v>
      </c>
      <c r="D61" s="35"/>
      <c r="E61" s="35"/>
      <c r="F61" s="35"/>
      <c r="G61" s="35"/>
      <c r="H61" s="35"/>
      <c r="I61" s="35"/>
      <c r="J61" s="35">
        <v>3</v>
      </c>
      <c r="K61" s="35">
        <v>475.06</v>
      </c>
      <c r="L61" s="35"/>
      <c r="M61" s="35"/>
      <c r="N61" s="35"/>
      <c r="O61" s="35"/>
      <c r="P61" s="35">
        <v>11</v>
      </c>
      <c r="Q61" s="35">
        <v>6661.76</v>
      </c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>
        <v>17</v>
      </c>
      <c r="AE61" s="35">
        <f>10179.3+4795</f>
        <v>14974.3</v>
      </c>
      <c r="AF61" s="35"/>
      <c r="AG61" s="35"/>
      <c r="AH61" s="35">
        <v>5</v>
      </c>
      <c r="AI61" s="35">
        <v>2059</v>
      </c>
      <c r="AJ61" s="35">
        <v>20</v>
      </c>
      <c r="AK61" s="35">
        <v>1436</v>
      </c>
      <c r="AL61" s="35"/>
      <c r="AM61" s="35"/>
      <c r="AN61" s="36">
        <v>2</v>
      </c>
      <c r="AO61" s="36">
        <v>432.77</v>
      </c>
      <c r="AP61" s="36"/>
      <c r="AQ61" s="35">
        <v>19014.14</v>
      </c>
      <c r="AR61" s="35"/>
      <c r="AS61" s="35"/>
      <c r="AT61" s="35"/>
      <c r="AU61" s="35"/>
    </row>
    <row r="62" spans="1:47" s="7" customFormat="1" ht="15.75" customHeight="1" x14ac:dyDescent="0.35">
      <c r="A62" s="13" t="s">
        <v>372</v>
      </c>
      <c r="B62" s="33">
        <v>219204.12</v>
      </c>
      <c r="C62" s="35">
        <f t="shared" si="0"/>
        <v>297473.96899999998</v>
      </c>
      <c r="D62" s="35"/>
      <c r="E62" s="35"/>
      <c r="F62" s="35"/>
      <c r="G62" s="35"/>
      <c r="H62" s="35"/>
      <c r="I62" s="35"/>
      <c r="J62" s="35">
        <f>9+7</f>
        <v>16</v>
      </c>
      <c r="K62" s="35">
        <f>1425.18+767.3</f>
        <v>2192.48</v>
      </c>
      <c r="L62" s="35"/>
      <c r="M62" s="35"/>
      <c r="N62" s="35"/>
      <c r="O62" s="35"/>
      <c r="P62" s="35">
        <v>5</v>
      </c>
      <c r="Q62" s="35">
        <v>1859.92</v>
      </c>
      <c r="R62" s="35">
        <v>3</v>
      </c>
      <c r="S62" s="35">
        <f>2167.8+5335.55+11280</f>
        <v>18783.349999999999</v>
      </c>
      <c r="T62" s="35">
        <v>1</v>
      </c>
      <c r="U62" s="35">
        <v>3403.96</v>
      </c>
      <c r="V62" s="35"/>
      <c r="W62" s="35"/>
      <c r="X62" s="35"/>
      <c r="Y62" s="35"/>
      <c r="Z62" s="35"/>
      <c r="AA62" s="35"/>
      <c r="AB62" s="35"/>
      <c r="AC62" s="35"/>
      <c r="AD62" s="35">
        <v>39</v>
      </c>
      <c r="AE62" s="35">
        <f>46754+24323</f>
        <v>71077</v>
      </c>
      <c r="AF62" s="35"/>
      <c r="AG62" s="35"/>
      <c r="AH62" s="35"/>
      <c r="AI62" s="35"/>
      <c r="AJ62" s="35">
        <f>28+6</f>
        <v>34</v>
      </c>
      <c r="AK62" s="35">
        <v>496.10700000000003</v>
      </c>
      <c r="AL62" s="35">
        <v>14</v>
      </c>
      <c r="AM62" s="35">
        <v>358.73200000000003</v>
      </c>
      <c r="AN62" s="36">
        <v>2</v>
      </c>
      <c r="AO62" s="36">
        <f>432.77+869</f>
        <v>1301.77</v>
      </c>
      <c r="AP62" s="36"/>
      <c r="AQ62" s="35"/>
      <c r="AR62" s="35">
        <v>36</v>
      </c>
      <c r="AS62" s="35">
        <v>198000.65</v>
      </c>
      <c r="AT62" s="35"/>
      <c r="AU62" s="35"/>
    </row>
    <row r="63" spans="1:47" s="7" customFormat="1" ht="15.75" customHeight="1" x14ac:dyDescent="0.35">
      <c r="A63" s="13" t="s">
        <v>371</v>
      </c>
      <c r="B63" s="33">
        <v>95525.28</v>
      </c>
      <c r="C63" s="35">
        <f t="shared" si="0"/>
        <v>149060.9</v>
      </c>
      <c r="D63" s="35"/>
      <c r="E63" s="35"/>
      <c r="F63" s="35"/>
      <c r="G63" s="35"/>
      <c r="H63" s="35"/>
      <c r="I63" s="35"/>
      <c r="J63" s="35">
        <v>2.5</v>
      </c>
      <c r="K63" s="35">
        <v>1570.43</v>
      </c>
      <c r="L63" s="35"/>
      <c r="M63" s="35"/>
      <c r="N63" s="35"/>
      <c r="O63" s="35"/>
      <c r="P63" s="35"/>
      <c r="Q63" s="35"/>
      <c r="R63" s="35">
        <v>7</v>
      </c>
      <c r="S63" s="35">
        <f>9071.27+41789.1</f>
        <v>50860.369999999995</v>
      </c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>
        <v>20</v>
      </c>
      <c r="AE63" s="35">
        <v>37984.495000000003</v>
      </c>
      <c r="AF63" s="35"/>
      <c r="AG63" s="35"/>
      <c r="AH63" s="35"/>
      <c r="AI63" s="35"/>
      <c r="AJ63" s="35">
        <v>6</v>
      </c>
      <c r="AK63" s="35">
        <v>496.10700000000003</v>
      </c>
      <c r="AL63" s="35">
        <v>7</v>
      </c>
      <c r="AM63" s="35">
        <v>140.86799999999999</v>
      </c>
      <c r="AN63" s="36">
        <v>2</v>
      </c>
      <c r="AO63" s="36">
        <f>432.77+1607.68</f>
        <v>2040.45</v>
      </c>
      <c r="AP63" s="36"/>
      <c r="AQ63" s="35"/>
      <c r="AR63" s="35">
        <v>10</v>
      </c>
      <c r="AS63" s="35">
        <v>55968.18</v>
      </c>
      <c r="AT63" s="35"/>
      <c r="AU63" s="35"/>
    </row>
    <row r="64" spans="1:47" s="7" customFormat="1" ht="15.75" customHeight="1" x14ac:dyDescent="0.35">
      <c r="A64" s="13" t="s">
        <v>370</v>
      </c>
      <c r="B64" s="33">
        <v>115477.2</v>
      </c>
      <c r="C64" s="35">
        <f t="shared" si="0"/>
        <v>193987.13</v>
      </c>
      <c r="D64" s="35"/>
      <c r="E64" s="35"/>
      <c r="F64" s="35"/>
      <c r="G64" s="35"/>
      <c r="H64" s="35"/>
      <c r="I64" s="35"/>
      <c r="J64" s="35"/>
      <c r="K64" s="35"/>
      <c r="L64" s="35">
        <v>521</v>
      </c>
      <c r="M64" s="35">
        <v>78496</v>
      </c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>
        <v>9</v>
      </c>
      <c r="AI64" s="35">
        <f>4943.02+3998</f>
        <v>8941.02</v>
      </c>
      <c r="AJ64" s="35"/>
      <c r="AK64" s="35"/>
      <c r="AL64" s="35"/>
      <c r="AM64" s="35"/>
      <c r="AN64" s="36">
        <v>8</v>
      </c>
      <c r="AO64" s="36">
        <f>432.77+869</f>
        <v>1301.77</v>
      </c>
      <c r="AP64" s="36"/>
      <c r="AQ64" s="35"/>
      <c r="AR64" s="35">
        <v>19</v>
      </c>
      <c r="AS64" s="35">
        <v>105248.34</v>
      </c>
      <c r="AT64" s="35"/>
      <c r="AU64" s="35"/>
    </row>
    <row r="65" spans="1:47" s="7" customFormat="1" ht="15.75" customHeight="1" x14ac:dyDescent="0.35">
      <c r="A65" s="13" t="s">
        <v>369</v>
      </c>
      <c r="B65" s="33">
        <v>228047.76</v>
      </c>
      <c r="C65" s="35">
        <f t="shared" si="0"/>
        <v>175065.27</v>
      </c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>
        <v>24</v>
      </c>
      <c r="Q65" s="35">
        <f>8527.66+1986</f>
        <v>10513.66</v>
      </c>
      <c r="R65" s="35"/>
      <c r="S65" s="35"/>
      <c r="T65" s="35"/>
      <c r="U65" s="35"/>
      <c r="V65" s="35"/>
      <c r="W65" s="35"/>
      <c r="X65" s="35">
        <v>4</v>
      </c>
      <c r="Y65" s="35">
        <v>1251.71</v>
      </c>
      <c r="Z65" s="35"/>
      <c r="AA65" s="35"/>
      <c r="AB65" s="35"/>
      <c r="AC65" s="35"/>
      <c r="AD65" s="35"/>
      <c r="AE65" s="35"/>
      <c r="AF65" s="35">
        <v>2</v>
      </c>
      <c r="AG65" s="35">
        <f>7076.66+9417</f>
        <v>16493.66</v>
      </c>
      <c r="AH65" s="35"/>
      <c r="AI65" s="35"/>
      <c r="AJ65" s="35"/>
      <c r="AK65" s="35"/>
      <c r="AL65" s="35"/>
      <c r="AM65" s="35"/>
      <c r="AN65" s="36">
        <v>2</v>
      </c>
      <c r="AO65" s="36">
        <f>432.77+1701</f>
        <v>2133.77</v>
      </c>
      <c r="AP65" s="36"/>
      <c r="AQ65" s="35"/>
      <c r="AR65" s="35">
        <v>26</v>
      </c>
      <c r="AS65" s="35">
        <v>144672.47</v>
      </c>
      <c r="AT65" s="35"/>
      <c r="AU65" s="35"/>
    </row>
    <row r="66" spans="1:47" s="7" customFormat="1" ht="15.75" customHeight="1" x14ac:dyDescent="0.35">
      <c r="A66" s="13" t="s">
        <v>368</v>
      </c>
      <c r="B66" s="33">
        <v>32529</v>
      </c>
      <c r="C66" s="35">
        <f t="shared" si="0"/>
        <v>48218.91</v>
      </c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>
        <v>7</v>
      </c>
      <c r="Q66" s="35">
        <f>2602+1371</f>
        <v>3973</v>
      </c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6">
        <v>2</v>
      </c>
      <c r="AO66" s="36">
        <f>432.77+869</f>
        <v>1301.77</v>
      </c>
      <c r="AP66" s="36"/>
      <c r="AQ66" s="35"/>
      <c r="AR66" s="35">
        <v>8</v>
      </c>
      <c r="AS66" s="35">
        <v>42944.14</v>
      </c>
      <c r="AT66" s="35"/>
      <c r="AU66" s="35"/>
    </row>
    <row r="67" spans="1:47" s="7" customFormat="1" ht="15.75" customHeight="1" x14ac:dyDescent="0.35">
      <c r="A67" s="13" t="s">
        <v>367</v>
      </c>
      <c r="B67" s="33">
        <v>97627.44</v>
      </c>
      <c r="C67" s="35">
        <f t="shared" si="0"/>
        <v>112725.51000000001</v>
      </c>
      <c r="D67" s="35"/>
      <c r="E67" s="35"/>
      <c r="F67" s="35"/>
      <c r="G67" s="35"/>
      <c r="H67" s="35"/>
      <c r="I67" s="35"/>
      <c r="J67" s="35">
        <v>6</v>
      </c>
      <c r="K67" s="35">
        <v>950.12</v>
      </c>
      <c r="L67" s="35"/>
      <c r="M67" s="35"/>
      <c r="N67" s="35"/>
      <c r="O67" s="35"/>
      <c r="P67" s="35">
        <v>6</v>
      </c>
      <c r="Q67" s="35">
        <v>1986</v>
      </c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>
        <v>11</v>
      </c>
      <c r="AE67" s="35">
        <f>9391.09+2684+514</f>
        <v>12589.09</v>
      </c>
      <c r="AF67" s="35"/>
      <c r="AG67" s="35"/>
      <c r="AH67" s="35">
        <v>1</v>
      </c>
      <c r="AI67" s="35">
        <v>1379</v>
      </c>
      <c r="AJ67" s="35"/>
      <c r="AK67" s="35"/>
      <c r="AL67" s="35"/>
      <c r="AM67" s="35"/>
      <c r="AN67" s="36">
        <v>2</v>
      </c>
      <c r="AO67" s="36">
        <f>869</f>
        <v>869</v>
      </c>
      <c r="AP67" s="36"/>
      <c r="AQ67" s="35"/>
      <c r="AR67" s="35">
        <v>17</v>
      </c>
      <c r="AS67" s="35">
        <v>94952.3</v>
      </c>
      <c r="AT67" s="35"/>
      <c r="AU67" s="35"/>
    </row>
    <row r="68" spans="1:47" s="7" customFormat="1" ht="15.75" customHeight="1" x14ac:dyDescent="0.35">
      <c r="A68" s="12" t="s">
        <v>366</v>
      </c>
      <c r="B68" s="33">
        <v>59029.93</v>
      </c>
      <c r="C68" s="35">
        <f t="shared" si="0"/>
        <v>0</v>
      </c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6"/>
      <c r="AO68" s="36"/>
      <c r="AP68" s="36"/>
      <c r="AQ68" s="35"/>
      <c r="AR68" s="35"/>
      <c r="AS68" s="35"/>
      <c r="AT68" s="35"/>
      <c r="AU68" s="35"/>
    </row>
    <row r="69" spans="1:47" s="7" customFormat="1" ht="15.75" customHeight="1" x14ac:dyDescent="0.35">
      <c r="A69" s="12" t="s">
        <v>365</v>
      </c>
      <c r="B69" s="33">
        <v>34042.949999999997</v>
      </c>
      <c r="C69" s="35">
        <f t="shared" si="0"/>
        <v>22459.11</v>
      </c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>
        <v>1</v>
      </c>
      <c r="S69" s="35">
        <v>302</v>
      </c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>
        <v>20</v>
      </c>
      <c r="AK69" s="35">
        <v>1684.13</v>
      </c>
      <c r="AL69" s="35">
        <v>11</v>
      </c>
      <c r="AM69" s="35">
        <f>2640.98+17832</f>
        <v>20472.98</v>
      </c>
      <c r="AN69" s="36"/>
      <c r="AO69" s="36"/>
      <c r="AP69" s="36"/>
      <c r="AQ69" s="35"/>
      <c r="AR69" s="35"/>
      <c r="AS69" s="35"/>
      <c r="AT69" s="35"/>
      <c r="AU69" s="35"/>
    </row>
    <row r="70" spans="1:47" s="7" customFormat="1" ht="15.75" customHeight="1" x14ac:dyDescent="0.35">
      <c r="A70" s="12" t="s">
        <v>364</v>
      </c>
      <c r="B70" s="33">
        <v>24970.66</v>
      </c>
      <c r="C70" s="35">
        <f t="shared" si="0"/>
        <v>31102.52</v>
      </c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>
        <v>3</v>
      </c>
      <c r="AM70" s="35">
        <v>390.41</v>
      </c>
      <c r="AN70" s="36"/>
      <c r="AO70" s="36"/>
      <c r="AP70" s="36"/>
      <c r="AQ70" s="35"/>
      <c r="AR70" s="35">
        <v>6</v>
      </c>
      <c r="AS70" s="35">
        <v>30712.11</v>
      </c>
      <c r="AT70" s="35"/>
      <c r="AU70" s="35"/>
    </row>
    <row r="71" spans="1:47" s="7" customFormat="1" ht="15.75" customHeight="1" x14ac:dyDescent="0.35">
      <c r="A71" s="12" t="s">
        <v>363</v>
      </c>
      <c r="B71" s="33">
        <v>45249.59</v>
      </c>
      <c r="C71" s="35">
        <f t="shared" si="0"/>
        <v>59542.99</v>
      </c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>
        <v>12</v>
      </c>
      <c r="AE71" s="35">
        <v>3899.72</v>
      </c>
      <c r="AF71" s="35"/>
      <c r="AG71" s="35"/>
      <c r="AH71" s="35">
        <v>5</v>
      </c>
      <c r="AI71" s="35">
        <v>1699.1</v>
      </c>
      <c r="AJ71" s="35"/>
      <c r="AK71" s="35"/>
      <c r="AL71" s="35"/>
      <c r="AM71" s="35"/>
      <c r="AN71" s="36"/>
      <c r="AO71" s="36"/>
      <c r="AP71" s="36"/>
      <c r="AQ71" s="35"/>
      <c r="AR71" s="35">
        <v>10</v>
      </c>
      <c r="AS71" s="35">
        <v>53944.17</v>
      </c>
      <c r="AT71" s="35"/>
      <c r="AU71" s="35"/>
    </row>
    <row r="72" spans="1:47" s="7" customFormat="1" ht="15.75" customHeight="1" x14ac:dyDescent="0.35">
      <c r="A72" s="12" t="s">
        <v>362</v>
      </c>
      <c r="B72" s="33">
        <v>34915.78</v>
      </c>
      <c r="C72" s="35">
        <f t="shared" si="0"/>
        <v>28439.9</v>
      </c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>
        <v>10</v>
      </c>
      <c r="AK72" s="35">
        <v>1159.81</v>
      </c>
      <c r="AL72" s="35"/>
      <c r="AM72" s="35"/>
      <c r="AN72" s="36"/>
      <c r="AO72" s="36"/>
      <c r="AP72" s="36"/>
      <c r="AQ72" s="35"/>
      <c r="AR72" s="35">
        <v>5</v>
      </c>
      <c r="AS72" s="35">
        <v>27280.09</v>
      </c>
      <c r="AT72" s="35"/>
      <c r="AU72" s="35"/>
    </row>
    <row r="73" spans="1:47" s="7" customFormat="1" ht="15.75" customHeight="1" x14ac:dyDescent="0.35">
      <c r="A73" s="12" t="s">
        <v>361</v>
      </c>
      <c r="B73" s="33">
        <v>102098.44</v>
      </c>
      <c r="C73" s="35">
        <f t="shared" si="0"/>
        <v>8381.4</v>
      </c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>
        <v>4</v>
      </c>
      <c r="Q73" s="35">
        <v>3049.49</v>
      </c>
      <c r="R73" s="35"/>
      <c r="S73" s="35"/>
      <c r="T73" s="35">
        <v>4</v>
      </c>
      <c r="U73" s="35">
        <v>2393</v>
      </c>
      <c r="V73" s="35"/>
      <c r="W73" s="35"/>
      <c r="X73" s="35"/>
      <c r="Y73" s="35"/>
      <c r="Z73" s="35"/>
      <c r="AA73" s="35"/>
      <c r="AB73" s="35"/>
      <c r="AC73" s="35"/>
      <c r="AD73" s="35">
        <v>3</v>
      </c>
      <c r="AE73" s="35">
        <v>2408.4499999999998</v>
      </c>
      <c r="AF73" s="35"/>
      <c r="AG73" s="35"/>
      <c r="AH73" s="35">
        <v>1</v>
      </c>
      <c r="AI73" s="35">
        <v>530.46</v>
      </c>
      <c r="AJ73" s="35"/>
      <c r="AK73" s="35"/>
      <c r="AL73" s="35"/>
      <c r="AM73" s="35"/>
      <c r="AN73" s="36"/>
      <c r="AO73" s="36"/>
      <c r="AP73" s="36"/>
      <c r="AQ73" s="35"/>
      <c r="AR73" s="35"/>
      <c r="AS73" s="35"/>
      <c r="AT73" s="35"/>
      <c r="AU73" s="35"/>
    </row>
    <row r="74" spans="1:47" s="7" customFormat="1" ht="15.75" customHeight="1" x14ac:dyDescent="0.35">
      <c r="A74" s="12" t="s">
        <v>360</v>
      </c>
      <c r="B74" s="33">
        <v>103675.76</v>
      </c>
      <c r="C74" s="35">
        <f t="shared" si="0"/>
        <v>58069.650000000009</v>
      </c>
      <c r="D74" s="35">
        <v>4</v>
      </c>
      <c r="E74" s="35">
        <v>2637.84</v>
      </c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>
        <v>12</v>
      </c>
      <c r="AE74" s="35">
        <v>6633.2</v>
      </c>
      <c r="AF74" s="35"/>
      <c r="AG74" s="35"/>
      <c r="AH74" s="35"/>
      <c r="AI74" s="35"/>
      <c r="AJ74" s="35">
        <v>2</v>
      </c>
      <c r="AK74" s="35">
        <v>2246.4499999999998</v>
      </c>
      <c r="AL74" s="35"/>
      <c r="AM74" s="35"/>
      <c r="AN74" s="36"/>
      <c r="AO74" s="36"/>
      <c r="AP74" s="36"/>
      <c r="AQ74" s="35"/>
      <c r="AR74" s="35">
        <v>8</v>
      </c>
      <c r="AS74" s="35">
        <v>46552.160000000003</v>
      </c>
      <c r="AT74" s="35"/>
      <c r="AU74" s="35"/>
    </row>
    <row r="75" spans="1:47" s="7" customFormat="1" ht="15.75" customHeight="1" x14ac:dyDescent="0.35">
      <c r="A75" s="12" t="s">
        <v>359</v>
      </c>
      <c r="B75" s="33">
        <v>59067.6</v>
      </c>
      <c r="C75" s="35">
        <f t="shared" si="0"/>
        <v>10929.93</v>
      </c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>
        <v>1</v>
      </c>
      <c r="U75" s="35">
        <v>1402.49</v>
      </c>
      <c r="V75" s="35"/>
      <c r="W75" s="35"/>
      <c r="X75" s="35">
        <v>7.5</v>
      </c>
      <c r="Y75" s="35">
        <v>919.01</v>
      </c>
      <c r="Z75" s="35">
        <v>2.1</v>
      </c>
      <c r="AA75" s="35">
        <v>5781.43</v>
      </c>
      <c r="AB75" s="35"/>
      <c r="AC75" s="35"/>
      <c r="AD75" s="35"/>
      <c r="AE75" s="35"/>
      <c r="AF75" s="35"/>
      <c r="AG75" s="35"/>
      <c r="AH75" s="35"/>
      <c r="AI75" s="35"/>
      <c r="AJ75" s="35">
        <v>7</v>
      </c>
      <c r="AK75" s="35">
        <v>2827</v>
      </c>
      <c r="AL75" s="35"/>
      <c r="AM75" s="35"/>
      <c r="AN75" s="36"/>
      <c r="AO75" s="36"/>
      <c r="AP75" s="36"/>
      <c r="AQ75" s="35"/>
      <c r="AR75" s="35"/>
      <c r="AS75" s="35"/>
      <c r="AT75" s="35"/>
      <c r="AU75" s="35"/>
    </row>
    <row r="76" spans="1:47" s="7" customFormat="1" ht="15.75" customHeight="1" x14ac:dyDescent="0.35">
      <c r="A76" s="12" t="s">
        <v>358</v>
      </c>
      <c r="B76" s="33">
        <v>22425.3</v>
      </c>
      <c r="C76" s="35">
        <f t="shared" si="0"/>
        <v>67161.34</v>
      </c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>
        <v>3</v>
      </c>
      <c r="Q76" s="35">
        <v>2066.36</v>
      </c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>
        <v>1</v>
      </c>
      <c r="AI76" s="35">
        <f>1812+731.01</f>
        <v>2543.0100000000002</v>
      </c>
      <c r="AJ76" s="35">
        <v>12</v>
      </c>
      <c r="AK76" s="35">
        <v>1391.77</v>
      </c>
      <c r="AL76" s="35"/>
      <c r="AM76" s="35"/>
      <c r="AN76" s="36"/>
      <c r="AO76" s="36"/>
      <c r="AP76" s="36"/>
      <c r="AQ76" s="35"/>
      <c r="AR76" s="35">
        <v>11</v>
      </c>
      <c r="AS76" s="35">
        <v>61160.2</v>
      </c>
      <c r="AT76" s="35"/>
      <c r="AU76" s="35"/>
    </row>
    <row r="77" spans="1:47" s="7" customFormat="1" ht="15.75" customHeight="1" x14ac:dyDescent="0.35">
      <c r="A77" s="12" t="s">
        <v>357</v>
      </c>
      <c r="B77" s="33">
        <v>94463.22</v>
      </c>
      <c r="C77" s="35">
        <f t="shared" ref="C77:C140" si="1">E77+G77+K77+M77+O77+Q77+S77+U77+Y77+AA77+AC77+AE77+AG77+AI77+AK77+AM77+AO77+AQ77+AS77+AU77+I77</f>
        <v>87402.790000000008</v>
      </c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>
        <v>10</v>
      </c>
      <c r="Q77" s="35">
        <f>3605.94+2018</f>
        <v>5623.9400000000005</v>
      </c>
      <c r="R77" s="35">
        <v>1</v>
      </c>
      <c r="S77" s="35">
        <v>383</v>
      </c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>
        <v>20</v>
      </c>
      <c r="AK77" s="35">
        <f>1159.81+1361</f>
        <v>2520.81</v>
      </c>
      <c r="AL77" s="35">
        <v>2</v>
      </c>
      <c r="AM77" s="35">
        <v>1434.79</v>
      </c>
      <c r="AN77" s="36"/>
      <c r="AO77" s="36"/>
      <c r="AP77" s="36"/>
      <c r="AQ77" s="35"/>
      <c r="AR77" s="35">
        <v>14</v>
      </c>
      <c r="AS77" s="35">
        <v>77440.25</v>
      </c>
      <c r="AT77" s="35"/>
      <c r="AU77" s="35"/>
    </row>
    <row r="78" spans="1:47" s="7" customFormat="1" ht="15.75" customHeight="1" x14ac:dyDescent="0.35">
      <c r="A78" s="12" t="s">
        <v>356</v>
      </c>
      <c r="B78" s="33">
        <v>35563.96</v>
      </c>
      <c r="C78" s="35">
        <f t="shared" si="1"/>
        <v>0</v>
      </c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6"/>
      <c r="AO78" s="36"/>
      <c r="AP78" s="36"/>
      <c r="AQ78" s="35"/>
      <c r="AR78" s="35"/>
      <c r="AS78" s="35"/>
      <c r="AT78" s="35"/>
      <c r="AU78" s="35"/>
    </row>
    <row r="79" spans="1:47" s="7" customFormat="1" ht="15.75" customHeight="1" x14ac:dyDescent="0.35">
      <c r="A79" s="12" t="s">
        <v>355</v>
      </c>
      <c r="B79" s="33">
        <v>99885.69</v>
      </c>
      <c r="C79" s="35">
        <f t="shared" si="1"/>
        <v>134226.96</v>
      </c>
      <c r="D79" s="35"/>
      <c r="E79" s="35"/>
      <c r="F79" s="35"/>
      <c r="G79" s="35"/>
      <c r="H79" s="35"/>
      <c r="I79" s="35"/>
      <c r="J79" s="35"/>
      <c r="K79" s="35"/>
      <c r="L79" s="35">
        <v>499</v>
      </c>
      <c r="M79" s="35">
        <v>80553</v>
      </c>
      <c r="N79" s="35"/>
      <c r="O79" s="35"/>
      <c r="P79" s="35"/>
      <c r="Q79" s="35"/>
      <c r="R79" s="35"/>
      <c r="S79" s="35"/>
      <c r="T79" s="35">
        <v>3</v>
      </c>
      <c r="U79" s="35">
        <v>1795</v>
      </c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>
        <v>90</v>
      </c>
      <c r="AK79" s="35">
        <v>11425</v>
      </c>
      <c r="AL79" s="35">
        <v>16</v>
      </c>
      <c r="AM79" s="35">
        <f>2295.12+37293.32</f>
        <v>39588.44</v>
      </c>
      <c r="AN79" s="36">
        <v>6</v>
      </c>
      <c r="AO79" s="36">
        <v>865.52</v>
      </c>
      <c r="AP79" s="36"/>
      <c r="AQ79" s="35"/>
      <c r="AR79" s="35"/>
      <c r="AS79" s="35"/>
      <c r="AT79" s="35"/>
      <c r="AU79" s="35"/>
    </row>
    <row r="80" spans="1:47" s="7" customFormat="1" ht="15.75" customHeight="1" x14ac:dyDescent="0.35">
      <c r="A80" s="12" t="s">
        <v>354</v>
      </c>
      <c r="B80" s="33">
        <v>269655.34000000003</v>
      </c>
      <c r="C80" s="35">
        <f t="shared" si="1"/>
        <v>49858.03</v>
      </c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>
        <v>4</v>
      </c>
      <c r="Q80" s="35">
        <f>771.6+1236.94</f>
        <v>2008.54</v>
      </c>
      <c r="R80" s="35">
        <v>1</v>
      </c>
      <c r="S80" s="35">
        <v>383.03</v>
      </c>
      <c r="T80" s="35"/>
      <c r="U80" s="35"/>
      <c r="V80" s="35"/>
      <c r="W80" s="35"/>
      <c r="X80" s="35">
        <v>20</v>
      </c>
      <c r="Y80" s="35">
        <v>11318.16</v>
      </c>
      <c r="Z80" s="35">
        <v>4</v>
      </c>
      <c r="AA80" s="35">
        <v>13750.67</v>
      </c>
      <c r="AB80" s="35"/>
      <c r="AC80" s="35"/>
      <c r="AD80" s="35">
        <v>6</v>
      </c>
      <c r="AE80" s="35">
        <v>20982.11</v>
      </c>
      <c r="AF80" s="35"/>
      <c r="AG80" s="35"/>
      <c r="AH80" s="35"/>
      <c r="AI80" s="35"/>
      <c r="AJ80" s="35"/>
      <c r="AK80" s="35"/>
      <c r="AL80" s="35">
        <v>4</v>
      </c>
      <c r="AM80" s="35">
        <v>550</v>
      </c>
      <c r="AN80" s="36">
        <v>4</v>
      </c>
      <c r="AO80" s="36">
        <v>865.52</v>
      </c>
      <c r="AP80" s="36"/>
      <c r="AQ80" s="35"/>
      <c r="AR80" s="35"/>
      <c r="AS80" s="35"/>
      <c r="AT80" s="35"/>
      <c r="AU80" s="35"/>
    </row>
    <row r="81" spans="1:47" s="7" customFormat="1" ht="15.75" customHeight="1" x14ac:dyDescent="0.35">
      <c r="A81" s="12" t="s">
        <v>353</v>
      </c>
      <c r="B81" s="33">
        <v>270371.61</v>
      </c>
      <c r="C81" s="35">
        <f t="shared" si="1"/>
        <v>173319.75419999997</v>
      </c>
      <c r="D81" s="35">
        <v>5</v>
      </c>
      <c r="E81" s="35">
        <v>1699.8</v>
      </c>
      <c r="F81" s="35"/>
      <c r="G81" s="35"/>
      <c r="H81" s="35"/>
      <c r="I81" s="35"/>
      <c r="J81" s="35">
        <v>2</v>
      </c>
      <c r="K81" s="35">
        <v>430.68819999999999</v>
      </c>
      <c r="L81" s="35"/>
      <c r="M81" s="35"/>
      <c r="N81" s="35"/>
      <c r="O81" s="35"/>
      <c r="P81" s="35">
        <v>19</v>
      </c>
      <c r="Q81" s="35">
        <f>15920.1+1306+1505.49</f>
        <v>18731.59</v>
      </c>
      <c r="R81" s="35">
        <v>3</v>
      </c>
      <c r="S81" s="35">
        <f>383+376.48</f>
        <v>759.48</v>
      </c>
      <c r="T81" s="35"/>
      <c r="U81" s="35"/>
      <c r="V81" s="35"/>
      <c r="W81" s="35"/>
      <c r="X81" s="35">
        <v>8.5</v>
      </c>
      <c r="Y81" s="35">
        <v>2621</v>
      </c>
      <c r="Z81" s="35">
        <v>3.5</v>
      </c>
      <c r="AA81" s="35">
        <v>24777.65</v>
      </c>
      <c r="AB81" s="35"/>
      <c r="AC81" s="35"/>
      <c r="AD81" s="35">
        <v>46</v>
      </c>
      <c r="AE81" s="35">
        <f>8613.47+2321.166+3410+5894.9</f>
        <v>20239.536</v>
      </c>
      <c r="AF81" s="35"/>
      <c r="AG81" s="35"/>
      <c r="AH81" s="35"/>
      <c r="AI81" s="35"/>
      <c r="AJ81" s="35">
        <f>43+90+15</f>
        <v>148</v>
      </c>
      <c r="AK81" s="35">
        <f>3610.28+30161.1+2523</f>
        <v>36294.379999999997</v>
      </c>
      <c r="AL81" s="35">
        <v>12</v>
      </c>
      <c r="AM81" s="35">
        <v>40591.71</v>
      </c>
      <c r="AN81" s="36">
        <v>6</v>
      </c>
      <c r="AO81" s="36">
        <v>865.52</v>
      </c>
      <c r="AP81" s="36"/>
      <c r="AQ81" s="35">
        <v>26308.400000000001</v>
      </c>
      <c r="AR81" s="35"/>
      <c r="AS81" s="35"/>
      <c r="AT81" s="35"/>
      <c r="AU81" s="35"/>
    </row>
    <row r="82" spans="1:47" s="7" customFormat="1" ht="15.75" customHeight="1" x14ac:dyDescent="0.35">
      <c r="A82" s="12" t="s">
        <v>352</v>
      </c>
      <c r="B82" s="33">
        <v>325864.71999999997</v>
      </c>
      <c r="C82" s="35">
        <f t="shared" si="1"/>
        <v>110150.667</v>
      </c>
      <c r="D82" s="35"/>
      <c r="E82" s="35"/>
      <c r="F82" s="35"/>
      <c r="G82" s="35"/>
      <c r="H82" s="35"/>
      <c r="I82" s="35"/>
      <c r="J82" s="35">
        <v>36</v>
      </c>
      <c r="K82" s="35">
        <f>641.25+95315.04+1230+2217.22</f>
        <v>99403.51</v>
      </c>
      <c r="L82" s="35"/>
      <c r="M82" s="35"/>
      <c r="N82" s="35"/>
      <c r="O82" s="35"/>
      <c r="P82" s="35">
        <v>5</v>
      </c>
      <c r="Q82" s="35">
        <f>1517.26+1130.44</f>
        <v>2647.7</v>
      </c>
      <c r="R82" s="35"/>
      <c r="S82" s="35"/>
      <c r="T82" s="35"/>
      <c r="U82" s="35"/>
      <c r="V82" s="35">
        <v>12.5</v>
      </c>
      <c r="W82" s="35">
        <v>16834.41</v>
      </c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>
        <v>21</v>
      </c>
      <c r="AK82" s="35">
        <f>114.755+1000.86</f>
        <v>1115.615</v>
      </c>
      <c r="AL82" s="35">
        <v>11</v>
      </c>
      <c r="AM82" s="35">
        <f>6634.35+349.492</f>
        <v>6983.8420000000006</v>
      </c>
      <c r="AN82" s="36"/>
      <c r="AO82" s="36"/>
      <c r="AP82" s="36"/>
      <c r="AQ82" s="35"/>
      <c r="AR82" s="35"/>
      <c r="AS82" s="35"/>
      <c r="AT82" s="35"/>
      <c r="AU82" s="35"/>
    </row>
    <row r="83" spans="1:47" s="7" customFormat="1" ht="15.75" customHeight="1" x14ac:dyDescent="0.35">
      <c r="A83" s="13" t="s">
        <v>351</v>
      </c>
      <c r="B83" s="33">
        <v>176999.04000000001</v>
      </c>
      <c r="C83" s="35">
        <f t="shared" si="1"/>
        <v>59041.430000000008</v>
      </c>
      <c r="D83" s="35"/>
      <c r="E83" s="35"/>
      <c r="F83" s="35"/>
      <c r="G83" s="35"/>
      <c r="H83" s="35"/>
      <c r="I83" s="35"/>
      <c r="J83" s="35">
        <v>3</v>
      </c>
      <c r="K83" s="35">
        <v>475.06</v>
      </c>
      <c r="L83" s="35"/>
      <c r="M83" s="35"/>
      <c r="N83" s="35"/>
      <c r="O83" s="35"/>
      <c r="P83" s="35">
        <f>14+43</f>
        <v>57</v>
      </c>
      <c r="Q83" s="35">
        <f>995.79+25940.4+5238</f>
        <v>32174.190000000002</v>
      </c>
      <c r="R83" s="35">
        <v>4</v>
      </c>
      <c r="S83" s="35">
        <f>376.48+376.48+19814</f>
        <v>20566.96</v>
      </c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>
        <v>2</v>
      </c>
      <c r="AM83" s="35">
        <v>5825.22</v>
      </c>
      <c r="AN83" s="36"/>
      <c r="AO83" s="36"/>
      <c r="AP83" s="36"/>
      <c r="AQ83" s="35"/>
      <c r="AR83" s="35"/>
      <c r="AS83" s="35"/>
      <c r="AT83" s="35"/>
      <c r="AU83" s="35"/>
    </row>
    <row r="84" spans="1:47" s="7" customFormat="1" ht="15.75" customHeight="1" x14ac:dyDescent="0.35">
      <c r="A84" s="13" t="s">
        <v>350</v>
      </c>
      <c r="B84" s="33">
        <v>174312.72</v>
      </c>
      <c r="C84" s="35">
        <f t="shared" si="1"/>
        <v>40626.539999999994</v>
      </c>
      <c r="D84" s="35"/>
      <c r="E84" s="35"/>
      <c r="F84" s="35"/>
      <c r="G84" s="35"/>
      <c r="H84" s="35"/>
      <c r="I84" s="35"/>
      <c r="J84" s="35">
        <v>3</v>
      </c>
      <c r="K84" s="35">
        <v>2555.09</v>
      </c>
      <c r="L84" s="35"/>
      <c r="M84" s="35"/>
      <c r="N84" s="35"/>
      <c r="O84" s="35"/>
      <c r="P84" s="35"/>
      <c r="Q84" s="35"/>
      <c r="R84" s="35">
        <v>1</v>
      </c>
      <c r="S84" s="35">
        <v>376.48</v>
      </c>
      <c r="T84" s="35">
        <v>5</v>
      </c>
      <c r="U84" s="35">
        <f>160.07+8497.14</f>
        <v>8657.2099999999991</v>
      </c>
      <c r="V84" s="35"/>
      <c r="W84" s="35"/>
      <c r="X84" s="35"/>
      <c r="Y84" s="35"/>
      <c r="Z84" s="35">
        <v>4</v>
      </c>
      <c r="AA84" s="35">
        <v>1101</v>
      </c>
      <c r="AB84" s="35"/>
      <c r="AC84" s="35"/>
      <c r="AD84" s="35">
        <v>2</v>
      </c>
      <c r="AE84" s="35">
        <v>889.3</v>
      </c>
      <c r="AF84" s="35"/>
      <c r="AG84" s="35"/>
      <c r="AH84" s="35"/>
      <c r="AI84" s="35"/>
      <c r="AJ84" s="35"/>
      <c r="AK84" s="35"/>
      <c r="AL84" s="35"/>
      <c r="AM84" s="35"/>
      <c r="AN84" s="36"/>
      <c r="AO84" s="36"/>
      <c r="AP84" s="36"/>
      <c r="AQ84" s="35">
        <v>27047.46</v>
      </c>
      <c r="AR84" s="35"/>
      <c r="AS84" s="35"/>
      <c r="AT84" s="35"/>
      <c r="AU84" s="35"/>
    </row>
    <row r="85" spans="1:47" s="7" customFormat="1" ht="15.75" customHeight="1" x14ac:dyDescent="0.35">
      <c r="A85" s="13" t="s">
        <v>1</v>
      </c>
      <c r="B85" s="33">
        <v>52073.88</v>
      </c>
      <c r="C85" s="35">
        <f t="shared" si="1"/>
        <v>9437.26</v>
      </c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>
        <v>1</v>
      </c>
      <c r="U85" s="35">
        <v>1139.05</v>
      </c>
      <c r="V85" s="35"/>
      <c r="W85" s="35"/>
      <c r="X85" s="35"/>
      <c r="Y85" s="35"/>
      <c r="Z85" s="35">
        <v>19</v>
      </c>
      <c r="AA85" s="35">
        <v>2921.02</v>
      </c>
      <c r="AB85" s="35"/>
      <c r="AC85" s="35"/>
      <c r="AD85" s="35">
        <v>7</v>
      </c>
      <c r="AE85" s="35">
        <f>2285.59+1741</f>
        <v>4026.59</v>
      </c>
      <c r="AF85" s="35"/>
      <c r="AG85" s="35"/>
      <c r="AH85" s="35">
        <v>2</v>
      </c>
      <c r="AI85" s="35">
        <v>1350.6</v>
      </c>
      <c r="AJ85" s="35"/>
      <c r="AK85" s="35"/>
      <c r="AL85" s="35"/>
      <c r="AM85" s="35"/>
      <c r="AN85" s="36"/>
      <c r="AO85" s="36"/>
      <c r="AP85" s="36"/>
      <c r="AQ85" s="35"/>
      <c r="AR85" s="35"/>
      <c r="AS85" s="35"/>
      <c r="AT85" s="35"/>
      <c r="AU85" s="35"/>
    </row>
    <row r="86" spans="1:47" s="7" customFormat="1" ht="15.75" customHeight="1" x14ac:dyDescent="0.35">
      <c r="A86" s="13" t="s">
        <v>349</v>
      </c>
      <c r="B86" s="33">
        <v>73322.399999999994</v>
      </c>
      <c r="C86" s="35">
        <f t="shared" si="1"/>
        <v>13498.970000000001</v>
      </c>
      <c r="D86" s="35"/>
      <c r="E86" s="35"/>
      <c r="F86" s="35"/>
      <c r="G86" s="35"/>
      <c r="H86" s="35"/>
      <c r="I86" s="35"/>
      <c r="J86" s="35">
        <v>3</v>
      </c>
      <c r="K86" s="35">
        <v>475.06</v>
      </c>
      <c r="L86" s="35"/>
      <c r="M86" s="35"/>
      <c r="N86" s="35"/>
      <c r="O86" s="35"/>
      <c r="P86" s="35">
        <v>2</v>
      </c>
      <c r="Q86" s="35">
        <v>765.63</v>
      </c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>
        <v>3</v>
      </c>
      <c r="AE86" s="35">
        <v>12258.28</v>
      </c>
      <c r="AF86" s="35"/>
      <c r="AG86" s="35"/>
      <c r="AH86" s="35"/>
      <c r="AI86" s="35"/>
      <c r="AJ86" s="35"/>
      <c r="AK86" s="35"/>
      <c r="AL86" s="35"/>
      <c r="AM86" s="35"/>
      <c r="AN86" s="36"/>
      <c r="AO86" s="36"/>
      <c r="AP86" s="36"/>
      <c r="AQ86" s="35"/>
      <c r="AR86" s="35"/>
      <c r="AS86" s="35"/>
      <c r="AT86" s="35"/>
      <c r="AU86" s="35"/>
    </row>
    <row r="87" spans="1:47" s="7" customFormat="1" ht="15.75" customHeight="1" x14ac:dyDescent="0.35">
      <c r="A87" s="13" t="s">
        <v>348</v>
      </c>
      <c r="B87" s="33">
        <v>114970.56</v>
      </c>
      <c r="C87" s="35">
        <f t="shared" si="1"/>
        <v>14588.877</v>
      </c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>
        <v>6</v>
      </c>
      <c r="Q87" s="35">
        <v>3938.91</v>
      </c>
      <c r="R87" s="35">
        <v>2</v>
      </c>
      <c r="S87" s="35">
        <v>1082.5</v>
      </c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>
        <v>5</v>
      </c>
      <c r="AE87" s="35">
        <f>3748+775</f>
        <v>4523</v>
      </c>
      <c r="AF87" s="35"/>
      <c r="AG87" s="35"/>
      <c r="AH87" s="35"/>
      <c r="AI87" s="35"/>
      <c r="AJ87" s="35"/>
      <c r="AK87" s="35"/>
      <c r="AL87" s="35">
        <v>16</v>
      </c>
      <c r="AM87" s="35">
        <f>496.107+4189.63</f>
        <v>4685.7370000000001</v>
      </c>
      <c r="AN87" s="36">
        <v>1</v>
      </c>
      <c r="AO87" s="36">
        <v>358.73</v>
      </c>
      <c r="AP87" s="36"/>
      <c r="AQ87" s="35"/>
      <c r="AR87" s="35"/>
      <c r="AS87" s="35"/>
      <c r="AT87" s="35"/>
      <c r="AU87" s="35"/>
    </row>
    <row r="88" spans="1:47" s="7" customFormat="1" ht="15.75" customHeight="1" x14ac:dyDescent="0.35">
      <c r="A88" s="13" t="s">
        <v>347</v>
      </c>
      <c r="B88" s="33">
        <v>146320.20000000001</v>
      </c>
      <c r="C88" s="35">
        <f t="shared" si="1"/>
        <v>19367.599999999999</v>
      </c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>
        <v>6</v>
      </c>
      <c r="U88" s="35">
        <v>7496</v>
      </c>
      <c r="V88" s="35"/>
      <c r="W88" s="35"/>
      <c r="X88" s="35"/>
      <c r="Y88" s="35"/>
      <c r="Z88" s="35">
        <v>1.8</v>
      </c>
      <c r="AA88" s="35">
        <v>5034</v>
      </c>
      <c r="AB88" s="35"/>
      <c r="AC88" s="35"/>
      <c r="AD88" s="35"/>
      <c r="AE88" s="35"/>
      <c r="AF88" s="35"/>
      <c r="AG88" s="35"/>
      <c r="AH88" s="35">
        <v>3</v>
      </c>
      <c r="AI88" s="35">
        <v>6837.6</v>
      </c>
      <c r="AJ88" s="35"/>
      <c r="AK88" s="35"/>
      <c r="AL88" s="35"/>
      <c r="AM88" s="35"/>
      <c r="AN88" s="36"/>
      <c r="AO88" s="36"/>
      <c r="AP88" s="36"/>
      <c r="AQ88" s="35"/>
      <c r="AR88" s="35"/>
      <c r="AS88" s="35"/>
      <c r="AT88" s="35"/>
      <c r="AU88" s="35"/>
    </row>
    <row r="89" spans="1:47" s="7" customFormat="1" ht="15.5" x14ac:dyDescent="0.35">
      <c r="A89" s="13" t="s">
        <v>346</v>
      </c>
      <c r="B89" s="33">
        <v>293923.8</v>
      </c>
      <c r="C89" s="35">
        <f t="shared" si="1"/>
        <v>165917.54999999999</v>
      </c>
      <c r="D89" s="35"/>
      <c r="E89" s="35"/>
      <c r="F89" s="35"/>
      <c r="G89" s="35"/>
      <c r="H89" s="35"/>
      <c r="I89" s="35"/>
      <c r="J89" s="35">
        <v>3</v>
      </c>
      <c r="K89" s="35">
        <v>475.06</v>
      </c>
      <c r="L89" s="35">
        <v>387</v>
      </c>
      <c r="M89" s="35">
        <v>133801</v>
      </c>
      <c r="N89" s="35"/>
      <c r="O89" s="35"/>
      <c r="P89" s="35">
        <v>13</v>
      </c>
      <c r="Q89" s="35">
        <v>2947.36</v>
      </c>
      <c r="R89" s="35">
        <v>2</v>
      </c>
      <c r="S89" s="35">
        <v>10072</v>
      </c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>
        <f>2+47</f>
        <v>49</v>
      </c>
      <c r="AE89" s="35">
        <f>1215.26+6090</f>
        <v>7305.26</v>
      </c>
      <c r="AF89" s="35"/>
      <c r="AG89" s="35"/>
      <c r="AH89" s="35">
        <v>16</v>
      </c>
      <c r="AI89" s="35">
        <f>409.93+5879.09</f>
        <v>6289.02</v>
      </c>
      <c r="AJ89" s="35">
        <f>7+6</f>
        <v>13</v>
      </c>
      <c r="AK89" s="35">
        <v>578.79</v>
      </c>
      <c r="AL89" s="35">
        <v>4</v>
      </c>
      <c r="AM89" s="35">
        <v>2517.86</v>
      </c>
      <c r="AN89" s="36">
        <v>1</v>
      </c>
      <c r="AO89" s="36">
        <v>1931.2</v>
      </c>
      <c r="AP89" s="36"/>
      <c r="AQ89" s="35"/>
      <c r="AR89" s="35"/>
      <c r="AS89" s="35"/>
      <c r="AT89" s="35"/>
      <c r="AU89" s="35"/>
    </row>
    <row r="90" spans="1:47" s="7" customFormat="1" ht="15.75" customHeight="1" x14ac:dyDescent="0.35">
      <c r="A90" s="13" t="s">
        <v>345</v>
      </c>
      <c r="B90" s="33">
        <v>81984.960000000006</v>
      </c>
      <c r="C90" s="35">
        <f t="shared" si="1"/>
        <v>44560.479999999996</v>
      </c>
      <c r="D90" s="35"/>
      <c r="E90" s="35"/>
      <c r="F90" s="35"/>
      <c r="G90" s="35"/>
      <c r="H90" s="35"/>
      <c r="I90" s="35"/>
      <c r="J90" s="35">
        <v>18</v>
      </c>
      <c r="K90" s="35">
        <f>950.12+1315.36</f>
        <v>2265.48</v>
      </c>
      <c r="L90" s="35"/>
      <c r="M90" s="35"/>
      <c r="N90" s="35"/>
      <c r="O90" s="35"/>
      <c r="P90" s="35">
        <v>2</v>
      </c>
      <c r="Q90" s="35">
        <v>1608.34</v>
      </c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>
        <v>10</v>
      </c>
      <c r="AE90" s="35">
        <f>1781+7975.62</f>
        <v>9756.619999999999</v>
      </c>
      <c r="AF90" s="35">
        <v>3</v>
      </c>
      <c r="AG90" s="35">
        <v>24756.6</v>
      </c>
      <c r="AH90" s="35">
        <v>2</v>
      </c>
      <c r="AI90" s="35">
        <v>2767.1</v>
      </c>
      <c r="AJ90" s="35">
        <v>12</v>
      </c>
      <c r="AK90" s="35">
        <v>1010.48</v>
      </c>
      <c r="AL90" s="35">
        <v>2</v>
      </c>
      <c r="AM90" s="35">
        <v>2395.86</v>
      </c>
      <c r="AN90" s="36"/>
      <c r="AO90" s="36"/>
      <c r="AP90" s="36"/>
      <c r="AQ90" s="35"/>
      <c r="AR90" s="35"/>
      <c r="AS90" s="35"/>
      <c r="AT90" s="35"/>
      <c r="AU90" s="35"/>
    </row>
    <row r="91" spans="1:47" s="7" customFormat="1" ht="15.75" customHeight="1" x14ac:dyDescent="0.35">
      <c r="A91" s="13" t="s">
        <v>344</v>
      </c>
      <c r="B91" s="33">
        <v>302482.44</v>
      </c>
      <c r="C91" s="35">
        <f t="shared" si="1"/>
        <v>14313.760000000002</v>
      </c>
      <c r="D91" s="35">
        <v>4</v>
      </c>
      <c r="E91" s="35">
        <v>2828</v>
      </c>
      <c r="F91" s="35"/>
      <c r="G91" s="35"/>
      <c r="H91" s="35"/>
      <c r="I91" s="35"/>
      <c r="J91" s="35">
        <v>12</v>
      </c>
      <c r="K91" s="35">
        <f>1425.18+654.26</f>
        <v>2079.44</v>
      </c>
      <c r="L91" s="35"/>
      <c r="M91" s="35"/>
      <c r="N91" s="35"/>
      <c r="O91" s="35"/>
      <c r="P91" s="35">
        <v>6</v>
      </c>
      <c r="Q91" s="35">
        <f>1157.4+109.61+1371</f>
        <v>2638.01</v>
      </c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6">
        <v>6</v>
      </c>
      <c r="AO91" s="36">
        <v>6768.31</v>
      </c>
      <c r="AP91" s="36"/>
      <c r="AQ91" s="35"/>
      <c r="AR91" s="35"/>
      <c r="AS91" s="35"/>
      <c r="AT91" s="35"/>
      <c r="AU91" s="35"/>
    </row>
    <row r="92" spans="1:47" s="7" customFormat="1" ht="15.75" customHeight="1" x14ac:dyDescent="0.35">
      <c r="A92" s="13" t="s">
        <v>343</v>
      </c>
      <c r="B92" s="33">
        <v>275429.76000000001</v>
      </c>
      <c r="C92" s="35">
        <f t="shared" si="1"/>
        <v>336162.76900000003</v>
      </c>
      <c r="D92" s="35">
        <v>10</v>
      </c>
      <c r="E92" s="35">
        <v>6635.14</v>
      </c>
      <c r="F92" s="35"/>
      <c r="G92" s="35"/>
      <c r="H92" s="35"/>
      <c r="I92" s="35"/>
      <c r="J92" s="35">
        <v>83</v>
      </c>
      <c r="K92" s="35">
        <f>475.06+25479.5</f>
        <v>25954.560000000001</v>
      </c>
      <c r="L92" s="35"/>
      <c r="M92" s="35"/>
      <c r="N92" s="35"/>
      <c r="O92" s="35"/>
      <c r="P92" s="35">
        <f>9+12</f>
        <v>21</v>
      </c>
      <c r="Q92" s="35">
        <f>6598.42+993.56</f>
        <v>7591.98</v>
      </c>
      <c r="R92" s="35">
        <v>1</v>
      </c>
      <c r="S92" s="35">
        <v>752.94600000000003</v>
      </c>
      <c r="T92" s="35">
        <v>2</v>
      </c>
      <c r="U92" s="35">
        <v>6807.9</v>
      </c>
      <c r="V92" s="35"/>
      <c r="W92" s="35"/>
      <c r="X92" s="35"/>
      <c r="Y92" s="35"/>
      <c r="Z92" s="35"/>
      <c r="AA92" s="35"/>
      <c r="AB92" s="35"/>
      <c r="AC92" s="35"/>
      <c r="AD92" s="35">
        <f>48+27+5+14</f>
        <v>94</v>
      </c>
      <c r="AE92" s="35">
        <f>2681.43+5827.19+14781.6+10343.08+751.259+1183.87+8530</f>
        <v>44098.429000000004</v>
      </c>
      <c r="AF92" s="35"/>
      <c r="AG92" s="35"/>
      <c r="AH92" s="35">
        <v>11</v>
      </c>
      <c r="AI92" s="35">
        <f>1105.2+12421.33+2134</f>
        <v>15660.53</v>
      </c>
      <c r="AJ92" s="35">
        <v>6</v>
      </c>
      <c r="AK92" s="35">
        <v>496.10700000000003</v>
      </c>
      <c r="AL92" s="35">
        <v>2</v>
      </c>
      <c r="AM92" s="35">
        <v>244.43700000000001</v>
      </c>
      <c r="AN92" s="36"/>
      <c r="AO92" s="36"/>
      <c r="AP92" s="36"/>
      <c r="AQ92" s="35"/>
      <c r="AR92" s="35">
        <v>42</v>
      </c>
      <c r="AS92" s="35">
        <v>227920.74</v>
      </c>
      <c r="AT92" s="35"/>
      <c r="AU92" s="35"/>
    </row>
    <row r="93" spans="1:47" s="7" customFormat="1" ht="15.75" customHeight="1" x14ac:dyDescent="0.35">
      <c r="A93" s="13" t="s">
        <v>342</v>
      </c>
      <c r="B93" s="33">
        <v>46585.56</v>
      </c>
      <c r="C93" s="35">
        <f t="shared" si="1"/>
        <v>49329.06</v>
      </c>
      <c r="D93" s="35"/>
      <c r="E93" s="35"/>
      <c r="F93" s="35"/>
      <c r="G93" s="35"/>
      <c r="H93" s="35"/>
      <c r="I93" s="35"/>
      <c r="J93" s="35">
        <v>3</v>
      </c>
      <c r="K93" s="35">
        <v>475.06</v>
      </c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>
        <v>7</v>
      </c>
      <c r="AE93" s="35">
        <v>3176.86</v>
      </c>
      <c r="AF93" s="35"/>
      <c r="AG93" s="35"/>
      <c r="AH93" s="35"/>
      <c r="AI93" s="35"/>
      <c r="AJ93" s="35"/>
      <c r="AK93" s="35"/>
      <c r="AL93" s="35">
        <v>3</v>
      </c>
      <c r="AM93" s="35">
        <v>3717</v>
      </c>
      <c r="AN93" s="36">
        <v>1</v>
      </c>
      <c r="AO93" s="36">
        <v>1128</v>
      </c>
      <c r="AP93" s="36"/>
      <c r="AQ93" s="35"/>
      <c r="AR93" s="35">
        <v>7</v>
      </c>
      <c r="AS93" s="35">
        <v>40832.14</v>
      </c>
      <c r="AT93" s="35"/>
      <c r="AU93" s="35"/>
    </row>
    <row r="94" spans="1:47" s="7" customFormat="1" ht="15.75" customHeight="1" x14ac:dyDescent="0.35">
      <c r="A94" s="13" t="s">
        <v>341</v>
      </c>
      <c r="B94" s="33">
        <v>47445.24</v>
      </c>
      <c r="C94" s="35">
        <f t="shared" si="1"/>
        <v>156224.39000000001</v>
      </c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>
        <v>23</v>
      </c>
      <c r="AE94" s="35">
        <f>3963.79+4960</f>
        <v>8923.7900000000009</v>
      </c>
      <c r="AF94" s="35"/>
      <c r="AG94" s="35"/>
      <c r="AH94" s="35">
        <v>2</v>
      </c>
      <c r="AI94" s="35">
        <v>784</v>
      </c>
      <c r="AJ94" s="35"/>
      <c r="AK94" s="35"/>
      <c r="AL94" s="35"/>
      <c r="AM94" s="35"/>
      <c r="AN94" s="36"/>
      <c r="AO94" s="36"/>
      <c r="AP94" s="36"/>
      <c r="AQ94" s="35">
        <v>40476.25</v>
      </c>
      <c r="AR94" s="35">
        <v>19</v>
      </c>
      <c r="AS94" s="35">
        <v>106040.35</v>
      </c>
      <c r="AT94" s="35"/>
      <c r="AU94" s="35"/>
    </row>
    <row r="95" spans="1:47" s="7" customFormat="1" ht="15.75" customHeight="1" x14ac:dyDescent="0.35">
      <c r="A95" s="13" t="s">
        <v>340</v>
      </c>
      <c r="B95" s="33">
        <v>442581.6</v>
      </c>
      <c r="C95" s="35">
        <f t="shared" si="1"/>
        <v>684943.50699999998</v>
      </c>
      <c r="D95" s="35">
        <v>12</v>
      </c>
      <c r="E95" s="35">
        <v>8315.39</v>
      </c>
      <c r="F95" s="35"/>
      <c r="G95" s="35"/>
      <c r="H95" s="35"/>
      <c r="I95" s="35"/>
      <c r="J95" s="35">
        <f>3+26.2</f>
        <v>29.2</v>
      </c>
      <c r="K95" s="35">
        <f>1425.18+9422.55+258.41</f>
        <v>11106.14</v>
      </c>
      <c r="L95" s="35">
        <v>1387</v>
      </c>
      <c r="M95" s="35">
        <v>143276.1</v>
      </c>
      <c r="N95" s="35"/>
      <c r="O95" s="35"/>
      <c r="P95" s="35">
        <v>12</v>
      </c>
      <c r="Q95" s="35">
        <f>7781.85+382.816</f>
        <v>8164.6660000000002</v>
      </c>
      <c r="R95" s="35">
        <v>1</v>
      </c>
      <c r="S95" s="35">
        <v>383.03</v>
      </c>
      <c r="T95" s="35"/>
      <c r="U95" s="35"/>
      <c r="V95" s="35"/>
      <c r="W95" s="35"/>
      <c r="X95" s="35">
        <v>80</v>
      </c>
      <c r="Y95" s="35">
        <v>8924.27</v>
      </c>
      <c r="Z95" s="35"/>
      <c r="AA95" s="35"/>
      <c r="AB95" s="35"/>
      <c r="AC95" s="35"/>
      <c r="AD95" s="35">
        <f>46+67</f>
        <v>113</v>
      </c>
      <c r="AE95" s="35">
        <f>117558+12581.1+34739</f>
        <v>164878.1</v>
      </c>
      <c r="AF95" s="35"/>
      <c r="AG95" s="35"/>
      <c r="AH95" s="35">
        <v>14</v>
      </c>
      <c r="AI95" s="35">
        <f>1644.1+474.631</f>
        <v>2118.7309999999998</v>
      </c>
      <c r="AJ95" s="35">
        <v>96</v>
      </c>
      <c r="AK95" s="35">
        <v>6808</v>
      </c>
      <c r="AL95" s="35"/>
      <c r="AM95" s="35"/>
      <c r="AN95" s="36"/>
      <c r="AO95" s="36"/>
      <c r="AP95" s="36"/>
      <c r="AQ95" s="35"/>
      <c r="AR95" s="35">
        <v>60</v>
      </c>
      <c r="AS95" s="35">
        <v>330969.08</v>
      </c>
      <c r="AT95" s="35"/>
      <c r="AU95" s="35"/>
    </row>
    <row r="96" spans="1:47" s="7" customFormat="1" ht="15.75" customHeight="1" x14ac:dyDescent="0.35">
      <c r="A96" s="13" t="s">
        <v>339</v>
      </c>
      <c r="B96" s="33">
        <v>222339.48</v>
      </c>
      <c r="C96" s="35">
        <f t="shared" si="1"/>
        <v>74638.837</v>
      </c>
      <c r="D96" s="35"/>
      <c r="E96" s="35"/>
      <c r="F96" s="35"/>
      <c r="G96" s="35"/>
      <c r="H96" s="35"/>
      <c r="I96" s="35"/>
      <c r="J96" s="35">
        <v>6</v>
      </c>
      <c r="K96" s="35">
        <v>950.12</v>
      </c>
      <c r="L96" s="35"/>
      <c r="M96" s="35"/>
      <c r="N96" s="35"/>
      <c r="O96" s="35"/>
      <c r="P96" s="35">
        <v>9</v>
      </c>
      <c r="Q96" s="35">
        <f>1605.79+2181.74+565</f>
        <v>4352.53</v>
      </c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>
        <v>6</v>
      </c>
      <c r="AE96" s="35">
        <v>14389.95</v>
      </c>
      <c r="AF96" s="35"/>
      <c r="AG96" s="35"/>
      <c r="AH96" s="35">
        <v>8</v>
      </c>
      <c r="AI96" s="35">
        <v>4566.32</v>
      </c>
      <c r="AJ96" s="35">
        <v>43</v>
      </c>
      <c r="AK96" s="35">
        <f>26564.9+578.79</f>
        <v>27143.690000000002</v>
      </c>
      <c r="AL96" s="35">
        <f>21+3</f>
        <v>24</v>
      </c>
      <c r="AM96" s="35">
        <f>17221.4+374.567</f>
        <v>17595.967000000001</v>
      </c>
      <c r="AN96" s="36">
        <v>5</v>
      </c>
      <c r="AO96" s="36">
        <v>5640.26</v>
      </c>
      <c r="AP96" s="36"/>
      <c r="AQ96" s="35"/>
      <c r="AR96" s="35"/>
      <c r="AS96" s="35"/>
      <c r="AT96" s="35"/>
      <c r="AU96" s="35"/>
    </row>
    <row r="97" spans="1:47" s="7" customFormat="1" ht="15.75" customHeight="1" x14ac:dyDescent="0.35">
      <c r="A97" s="13" t="s">
        <v>338</v>
      </c>
      <c r="B97" s="33">
        <v>156409.20000000001</v>
      </c>
      <c r="C97" s="35">
        <f t="shared" si="1"/>
        <v>243852.33399999997</v>
      </c>
      <c r="D97" s="35"/>
      <c r="E97" s="35"/>
      <c r="F97" s="35"/>
      <c r="G97" s="35"/>
      <c r="H97" s="35"/>
      <c r="I97" s="35"/>
      <c r="J97" s="35">
        <v>3</v>
      </c>
      <c r="K97" s="35">
        <v>475.06</v>
      </c>
      <c r="L97" s="35">
        <v>532</v>
      </c>
      <c r="M97" s="35">
        <v>73471</v>
      </c>
      <c r="N97" s="35"/>
      <c r="O97" s="35"/>
      <c r="P97" s="35">
        <v>5</v>
      </c>
      <c r="Q97" s="35">
        <f>771.6+1265.66</f>
        <v>2037.2600000000002</v>
      </c>
      <c r="R97" s="35"/>
      <c r="S97" s="35"/>
      <c r="T97" s="35">
        <v>40</v>
      </c>
      <c r="U97" s="35">
        <v>19226</v>
      </c>
      <c r="V97" s="35"/>
      <c r="W97" s="35"/>
      <c r="X97" s="35">
        <v>58.8</v>
      </c>
      <c r="Y97" s="35">
        <f>11835.45+8980</f>
        <v>20815.45</v>
      </c>
      <c r="Z97" s="35"/>
      <c r="AA97" s="35"/>
      <c r="AB97" s="35"/>
      <c r="AC97" s="35"/>
      <c r="AD97" s="35">
        <v>16</v>
      </c>
      <c r="AE97" s="35">
        <v>15298.8</v>
      </c>
      <c r="AF97" s="35"/>
      <c r="AG97" s="35"/>
      <c r="AH97" s="35"/>
      <c r="AI97" s="35"/>
      <c r="AJ97" s="35">
        <f>26+6</f>
        <v>32</v>
      </c>
      <c r="AK97" s="35">
        <f>496.107+5193.89+1522</f>
        <v>7211.9970000000003</v>
      </c>
      <c r="AL97" s="35">
        <v>10</v>
      </c>
      <c r="AM97" s="35">
        <v>244.43700000000001</v>
      </c>
      <c r="AN97" s="36"/>
      <c r="AO97" s="36"/>
      <c r="AP97" s="36"/>
      <c r="AQ97" s="35"/>
      <c r="AR97" s="35">
        <v>19</v>
      </c>
      <c r="AS97" s="35">
        <v>105072.33</v>
      </c>
      <c r="AT97" s="35"/>
      <c r="AU97" s="35"/>
    </row>
    <row r="98" spans="1:47" s="7" customFormat="1" ht="15.75" customHeight="1" x14ac:dyDescent="0.35">
      <c r="A98" s="13" t="s">
        <v>337</v>
      </c>
      <c r="B98" s="33">
        <v>239022.24</v>
      </c>
      <c r="C98" s="35">
        <f t="shared" si="1"/>
        <v>559905.73</v>
      </c>
      <c r="D98" s="35">
        <v>4</v>
      </c>
      <c r="E98" s="35">
        <v>2715</v>
      </c>
      <c r="F98" s="35"/>
      <c r="G98" s="35"/>
      <c r="H98" s="35">
        <v>145</v>
      </c>
      <c r="I98" s="35">
        <v>376208</v>
      </c>
      <c r="J98" s="35">
        <v>6</v>
      </c>
      <c r="K98" s="35">
        <v>950.12</v>
      </c>
      <c r="L98" s="35"/>
      <c r="M98" s="35"/>
      <c r="N98" s="35"/>
      <c r="O98" s="35"/>
      <c r="P98" s="35"/>
      <c r="Q98" s="35"/>
      <c r="R98" s="35"/>
      <c r="S98" s="35"/>
      <c r="T98" s="35">
        <v>9</v>
      </c>
      <c r="U98" s="35">
        <f>5196.4+3257</f>
        <v>8453.4</v>
      </c>
      <c r="V98" s="35"/>
      <c r="W98" s="35"/>
      <c r="X98" s="35">
        <v>15</v>
      </c>
      <c r="Y98" s="35">
        <v>4201</v>
      </c>
      <c r="Z98" s="35"/>
      <c r="AA98" s="35"/>
      <c r="AB98" s="35"/>
      <c r="AC98" s="35"/>
      <c r="AD98" s="35">
        <v>70</v>
      </c>
      <c r="AE98" s="35">
        <f>13944.1+14103</f>
        <v>28047.1</v>
      </c>
      <c r="AF98" s="35"/>
      <c r="AG98" s="35"/>
      <c r="AH98" s="35">
        <v>5</v>
      </c>
      <c r="AI98" s="35">
        <f>7079.2+691.48</f>
        <v>7770.68</v>
      </c>
      <c r="AJ98" s="35"/>
      <c r="AK98" s="35"/>
      <c r="AL98" s="35"/>
      <c r="AM98" s="35"/>
      <c r="AN98" s="36"/>
      <c r="AO98" s="36"/>
      <c r="AP98" s="36"/>
      <c r="AQ98" s="35"/>
      <c r="AR98" s="35">
        <v>24</v>
      </c>
      <c r="AS98" s="35">
        <v>131560.43</v>
      </c>
      <c r="AT98" s="35"/>
      <c r="AU98" s="35"/>
    </row>
    <row r="99" spans="1:47" s="7" customFormat="1" ht="15.75" customHeight="1" x14ac:dyDescent="0.35">
      <c r="A99" s="13" t="s">
        <v>336</v>
      </c>
      <c r="B99" s="33">
        <v>97011.72</v>
      </c>
      <c r="C99" s="35">
        <f t="shared" si="1"/>
        <v>12006.77</v>
      </c>
      <c r="D99" s="35"/>
      <c r="E99" s="35"/>
      <c r="F99" s="35"/>
      <c r="G99" s="35"/>
      <c r="H99" s="35"/>
      <c r="I99" s="35"/>
      <c r="J99" s="35">
        <v>6</v>
      </c>
      <c r="K99" s="35">
        <v>950.12</v>
      </c>
      <c r="L99" s="35"/>
      <c r="M99" s="35"/>
      <c r="N99" s="35"/>
      <c r="O99" s="35"/>
      <c r="P99" s="35"/>
      <c r="Q99" s="35"/>
      <c r="R99" s="35"/>
      <c r="S99" s="35"/>
      <c r="T99" s="35">
        <v>1</v>
      </c>
      <c r="U99" s="35">
        <v>1902.68</v>
      </c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>
        <v>106</v>
      </c>
      <c r="AK99" s="35">
        <f>5163.76+124</f>
        <v>5287.76</v>
      </c>
      <c r="AL99" s="35">
        <v>1</v>
      </c>
      <c r="AM99" s="35">
        <v>3866.21</v>
      </c>
      <c r="AN99" s="36"/>
      <c r="AO99" s="36"/>
      <c r="AP99" s="36"/>
      <c r="AQ99" s="35"/>
      <c r="AR99" s="35"/>
      <c r="AS99" s="35"/>
      <c r="AT99" s="35"/>
      <c r="AU99" s="35"/>
    </row>
    <row r="100" spans="1:47" s="7" customFormat="1" ht="15.75" customHeight="1" x14ac:dyDescent="0.35">
      <c r="A100" s="13" t="s">
        <v>335</v>
      </c>
      <c r="B100" s="33">
        <v>441757.68</v>
      </c>
      <c r="C100" s="35">
        <f t="shared" si="1"/>
        <v>196563.95200000002</v>
      </c>
      <c r="D100" s="35">
        <v>4</v>
      </c>
      <c r="E100" s="35">
        <v>2878.23</v>
      </c>
      <c r="F100" s="35"/>
      <c r="G100" s="35"/>
      <c r="H100" s="35"/>
      <c r="I100" s="35"/>
      <c r="J100" s="35">
        <v>37</v>
      </c>
      <c r="K100" s="35">
        <f>950.12+5961.87+9709.25+15353.8</f>
        <v>31975.039999999997</v>
      </c>
      <c r="L100" s="35"/>
      <c r="M100" s="35"/>
      <c r="N100" s="35"/>
      <c r="O100" s="35"/>
      <c r="P100" s="35">
        <v>19</v>
      </c>
      <c r="Q100" s="35">
        <f>1543.19+2033.33+3899.9</f>
        <v>7476.42</v>
      </c>
      <c r="R100" s="35">
        <v>4</v>
      </c>
      <c r="S100" s="35">
        <f>383.03+376.48</f>
        <v>759.51</v>
      </c>
      <c r="T100" s="35">
        <f>8+3</f>
        <v>11</v>
      </c>
      <c r="U100" s="35">
        <f>9491.86+3257</f>
        <v>12748.86</v>
      </c>
      <c r="V100" s="35"/>
      <c r="W100" s="35"/>
      <c r="X100" s="35">
        <v>17</v>
      </c>
      <c r="Y100" s="35">
        <v>3442.1779999999999</v>
      </c>
      <c r="Z100" s="35"/>
      <c r="AA100" s="35"/>
      <c r="AB100" s="35"/>
      <c r="AC100" s="35"/>
      <c r="AD100" s="35">
        <f>48+24</f>
        <v>72</v>
      </c>
      <c r="AE100" s="35">
        <f>79211.91+10828.86</f>
        <v>90040.77</v>
      </c>
      <c r="AF100" s="35">
        <v>2</v>
      </c>
      <c r="AG100" s="35">
        <f>1124.09+2787</f>
        <v>3911.09</v>
      </c>
      <c r="AH100" s="35">
        <v>33</v>
      </c>
      <c r="AI100" s="35">
        <v>15446.19</v>
      </c>
      <c r="AJ100" s="35">
        <v>52</v>
      </c>
      <c r="AK100" s="35">
        <f>2622.49+432.659+9957</f>
        <v>13012.148999999999</v>
      </c>
      <c r="AL100" s="35">
        <v>15</v>
      </c>
      <c r="AM100" s="35">
        <f>1450.85+9820.62+562.105</f>
        <v>11833.575000000001</v>
      </c>
      <c r="AN100" s="36">
        <v>2</v>
      </c>
      <c r="AO100" s="36">
        <f>1108.74+1931.2</f>
        <v>3039.94</v>
      </c>
      <c r="AP100" s="36"/>
      <c r="AQ100" s="35"/>
      <c r="AR100" s="35"/>
      <c r="AS100" s="35"/>
      <c r="AT100" s="35"/>
      <c r="AU100" s="35"/>
    </row>
    <row r="101" spans="1:47" s="7" customFormat="1" ht="14.25" customHeight="1" x14ac:dyDescent="0.35">
      <c r="A101" s="12" t="s">
        <v>334</v>
      </c>
      <c r="B101" s="33">
        <v>476923.8</v>
      </c>
      <c r="C101" s="35">
        <f t="shared" si="1"/>
        <v>56599.27</v>
      </c>
      <c r="D101" s="35"/>
      <c r="E101" s="35"/>
      <c r="F101" s="35"/>
      <c r="G101" s="35"/>
      <c r="H101" s="35"/>
      <c r="I101" s="35"/>
      <c r="J101" s="35">
        <f>15+2+8</f>
        <v>25</v>
      </c>
      <c r="K101" s="35">
        <f>572.96+627.68+9422</f>
        <v>10622.64</v>
      </c>
      <c r="L101" s="35"/>
      <c r="M101" s="35"/>
      <c r="N101" s="35"/>
      <c r="O101" s="35"/>
      <c r="P101" s="35">
        <v>12</v>
      </c>
      <c r="Q101" s="35">
        <f>771+1574.84</f>
        <v>2345.84</v>
      </c>
      <c r="R101" s="35">
        <v>2</v>
      </c>
      <c r="S101" s="35">
        <f>383+2122.1</f>
        <v>2505.1</v>
      </c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>
        <v>15</v>
      </c>
      <c r="AE101" s="35">
        <f>38339.17+2719.52</f>
        <v>41058.689999999995</v>
      </c>
      <c r="AF101" s="35"/>
      <c r="AG101" s="35"/>
      <c r="AH101" s="35"/>
      <c r="AI101" s="35"/>
      <c r="AJ101" s="35">
        <v>1</v>
      </c>
      <c r="AK101" s="35">
        <v>67</v>
      </c>
      <c r="AL101" s="35"/>
      <c r="AM101" s="35"/>
      <c r="AN101" s="36"/>
      <c r="AO101" s="36"/>
      <c r="AP101" s="36"/>
      <c r="AQ101" s="35"/>
      <c r="AR101" s="35"/>
      <c r="AS101" s="35"/>
      <c r="AT101" s="35"/>
      <c r="AU101" s="35"/>
    </row>
    <row r="102" spans="1:47" s="7" customFormat="1" ht="15.75" customHeight="1" x14ac:dyDescent="0.35">
      <c r="A102" s="12" t="s">
        <v>333</v>
      </c>
      <c r="B102" s="33">
        <v>211904.84</v>
      </c>
      <c r="C102" s="35">
        <f t="shared" si="1"/>
        <v>183792.48</v>
      </c>
      <c r="D102" s="35">
        <v>8</v>
      </c>
      <c r="E102" s="35">
        <v>7675</v>
      </c>
      <c r="F102" s="35"/>
      <c r="G102" s="35"/>
      <c r="H102" s="35"/>
      <c r="I102" s="35"/>
      <c r="J102" s="35">
        <f>30+245</f>
        <v>275</v>
      </c>
      <c r="K102" s="35">
        <f>805.19+153901</f>
        <v>154706.19</v>
      </c>
      <c r="L102" s="35"/>
      <c r="M102" s="35"/>
      <c r="N102" s="35"/>
      <c r="O102" s="35"/>
      <c r="P102" s="35">
        <v>19</v>
      </c>
      <c r="Q102" s="35">
        <f>88.46+2279.39+4823</f>
        <v>7190.85</v>
      </c>
      <c r="R102" s="35"/>
      <c r="S102" s="35"/>
      <c r="T102" s="35">
        <v>3</v>
      </c>
      <c r="U102" s="35">
        <v>1795</v>
      </c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>
        <v>15</v>
      </c>
      <c r="AK102" s="35">
        <f>11934+491.44</f>
        <v>12425.44</v>
      </c>
      <c r="AL102" s="35"/>
      <c r="AM102" s="35"/>
      <c r="AN102" s="36"/>
      <c r="AO102" s="36"/>
      <c r="AP102" s="36"/>
      <c r="AQ102" s="35"/>
      <c r="AR102" s="35"/>
      <c r="AS102" s="35"/>
      <c r="AT102" s="35"/>
      <c r="AU102" s="35"/>
    </row>
    <row r="103" spans="1:47" s="7" customFormat="1" ht="15.75" customHeight="1" x14ac:dyDescent="0.35">
      <c r="A103" s="12" t="s">
        <v>332</v>
      </c>
      <c r="B103" s="33">
        <v>145363</v>
      </c>
      <c r="C103" s="35">
        <f t="shared" si="1"/>
        <v>244571.36</v>
      </c>
      <c r="D103" s="35"/>
      <c r="E103" s="35"/>
      <c r="F103" s="35"/>
      <c r="G103" s="35"/>
      <c r="H103" s="35">
        <v>60</v>
      </c>
      <c r="I103" s="35">
        <v>204426</v>
      </c>
      <c r="J103" s="35">
        <v>47</v>
      </c>
      <c r="K103" s="35">
        <f>3825.36+1884.51</f>
        <v>5709.87</v>
      </c>
      <c r="L103" s="35"/>
      <c r="M103" s="35"/>
      <c r="N103" s="35"/>
      <c r="O103" s="35"/>
      <c r="P103" s="35">
        <v>24</v>
      </c>
      <c r="Q103" s="35">
        <f>7604.63+4383</f>
        <v>11987.630000000001</v>
      </c>
      <c r="R103" s="35"/>
      <c r="S103" s="35"/>
      <c r="T103" s="35">
        <v>11</v>
      </c>
      <c r="U103" s="35">
        <f>9491.86+1795</f>
        <v>11286.86</v>
      </c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>
        <v>4</v>
      </c>
      <c r="AI103" s="35">
        <v>11161</v>
      </c>
      <c r="AJ103" s="35"/>
      <c r="AK103" s="35"/>
      <c r="AL103" s="35"/>
      <c r="AM103" s="35"/>
      <c r="AN103" s="36"/>
      <c r="AO103" s="36"/>
      <c r="AP103" s="36"/>
      <c r="AQ103" s="35"/>
      <c r="AR103" s="35"/>
      <c r="AS103" s="35"/>
      <c r="AT103" s="35"/>
      <c r="AU103" s="35"/>
    </row>
    <row r="104" spans="1:47" s="7" customFormat="1" ht="15.75" customHeight="1" x14ac:dyDescent="0.35">
      <c r="A104" s="12" t="s">
        <v>331</v>
      </c>
      <c r="B104" s="33">
        <v>146189.04</v>
      </c>
      <c r="C104" s="35">
        <f t="shared" si="1"/>
        <v>11265.35</v>
      </c>
      <c r="D104" s="35"/>
      <c r="E104" s="35"/>
      <c r="F104" s="35"/>
      <c r="G104" s="35"/>
      <c r="H104" s="35"/>
      <c r="I104" s="35"/>
      <c r="J104" s="35">
        <v>6</v>
      </c>
      <c r="K104" s="35">
        <v>700.35</v>
      </c>
      <c r="L104" s="35"/>
      <c r="M104" s="35"/>
      <c r="N104" s="35"/>
      <c r="O104" s="35"/>
      <c r="P104" s="35">
        <v>3</v>
      </c>
      <c r="Q104" s="35">
        <v>1219</v>
      </c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>
        <v>3</v>
      </c>
      <c r="AK104" s="35">
        <v>9346</v>
      </c>
      <c r="AL104" s="35"/>
      <c r="AM104" s="35"/>
      <c r="AN104" s="36"/>
      <c r="AO104" s="36"/>
      <c r="AP104" s="36"/>
      <c r="AQ104" s="35"/>
      <c r="AR104" s="35"/>
      <c r="AS104" s="35"/>
      <c r="AT104" s="35"/>
      <c r="AU104" s="35"/>
    </row>
    <row r="105" spans="1:47" s="7" customFormat="1" ht="15.75" customHeight="1" x14ac:dyDescent="0.35">
      <c r="A105" s="12" t="s">
        <v>330</v>
      </c>
      <c r="B105" s="33">
        <v>135418.49</v>
      </c>
      <c r="C105" s="35">
        <f t="shared" si="1"/>
        <v>212880.85</v>
      </c>
      <c r="D105" s="35"/>
      <c r="E105" s="35"/>
      <c r="F105" s="35"/>
      <c r="G105" s="35"/>
      <c r="H105" s="35">
        <v>50</v>
      </c>
      <c r="I105" s="35">
        <v>193694</v>
      </c>
      <c r="J105" s="35">
        <v>19.5</v>
      </c>
      <c r="K105" s="35">
        <v>1963.93</v>
      </c>
      <c r="L105" s="35"/>
      <c r="M105" s="35"/>
      <c r="N105" s="35"/>
      <c r="O105" s="35"/>
      <c r="P105" s="35">
        <v>20</v>
      </c>
      <c r="Q105" s="35">
        <f>7387.57+1408.92</f>
        <v>8796.49</v>
      </c>
      <c r="R105" s="35">
        <v>3</v>
      </c>
      <c r="S105" s="35">
        <f>752.95+376.48</f>
        <v>1129.43</v>
      </c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>
        <v>4</v>
      </c>
      <c r="AM105" s="35">
        <v>7297</v>
      </c>
      <c r="AN105" s="36"/>
      <c r="AO105" s="36"/>
      <c r="AP105" s="36"/>
      <c r="AQ105" s="35"/>
      <c r="AR105" s="35"/>
      <c r="AS105" s="35"/>
      <c r="AT105" s="35"/>
      <c r="AU105" s="35"/>
    </row>
    <row r="106" spans="1:47" s="7" customFormat="1" ht="15.75" customHeight="1" x14ac:dyDescent="0.35">
      <c r="A106" s="12" t="s">
        <v>329</v>
      </c>
      <c r="B106" s="33">
        <v>139058.75</v>
      </c>
      <c r="C106" s="35">
        <f t="shared" si="1"/>
        <v>12965.320000000002</v>
      </c>
      <c r="D106" s="35"/>
      <c r="E106" s="35"/>
      <c r="F106" s="35"/>
      <c r="G106" s="35"/>
      <c r="H106" s="35"/>
      <c r="I106" s="35"/>
      <c r="J106" s="35">
        <v>14</v>
      </c>
      <c r="K106" s="35">
        <v>1607.23</v>
      </c>
      <c r="L106" s="35"/>
      <c r="M106" s="35"/>
      <c r="N106" s="35"/>
      <c r="O106" s="35"/>
      <c r="P106" s="35">
        <v>7</v>
      </c>
      <c r="Q106" s="35">
        <f>734+6930.14</f>
        <v>7664.14</v>
      </c>
      <c r="R106" s="35">
        <v>5</v>
      </c>
      <c r="S106" s="35">
        <f>1146+752.95</f>
        <v>1898.95</v>
      </c>
      <c r="T106" s="35">
        <v>5</v>
      </c>
      <c r="U106" s="35">
        <v>1795</v>
      </c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6"/>
      <c r="AO106" s="36"/>
      <c r="AP106" s="36"/>
      <c r="AQ106" s="35"/>
      <c r="AR106" s="35"/>
      <c r="AS106" s="35"/>
      <c r="AT106" s="35"/>
      <c r="AU106" s="35"/>
    </row>
    <row r="107" spans="1:47" s="7" customFormat="1" ht="15.75" customHeight="1" x14ac:dyDescent="0.35">
      <c r="A107" s="12" t="s">
        <v>328</v>
      </c>
      <c r="B107" s="33">
        <v>151339.18</v>
      </c>
      <c r="C107" s="35">
        <f t="shared" si="1"/>
        <v>92749.501399999979</v>
      </c>
      <c r="D107" s="35">
        <v>10</v>
      </c>
      <c r="E107" s="35">
        <v>6498.0594000000001</v>
      </c>
      <c r="F107" s="35"/>
      <c r="G107" s="35"/>
      <c r="H107" s="35"/>
      <c r="I107" s="35"/>
      <c r="J107" s="35">
        <v>10</v>
      </c>
      <c r="K107" s="35">
        <v>737.05</v>
      </c>
      <c r="L107" s="35"/>
      <c r="M107" s="35"/>
      <c r="N107" s="35"/>
      <c r="O107" s="35"/>
      <c r="P107" s="35">
        <v>13</v>
      </c>
      <c r="Q107" s="35">
        <f>6485+632.822+2579</f>
        <v>9696.8220000000001</v>
      </c>
      <c r="R107" s="35">
        <v>3</v>
      </c>
      <c r="S107" s="35">
        <v>611</v>
      </c>
      <c r="T107" s="35">
        <v>6</v>
      </c>
      <c r="U107" s="35">
        <v>24744.2</v>
      </c>
      <c r="V107" s="35"/>
      <c r="W107" s="35"/>
      <c r="X107" s="35"/>
      <c r="Y107" s="35"/>
      <c r="Z107" s="35"/>
      <c r="AA107" s="35"/>
      <c r="AB107" s="35"/>
      <c r="AC107" s="35"/>
      <c r="AD107" s="35">
        <v>33</v>
      </c>
      <c r="AE107" s="35">
        <f>10823+23528</f>
        <v>34351</v>
      </c>
      <c r="AF107" s="35"/>
      <c r="AG107" s="35"/>
      <c r="AH107" s="35">
        <v>13</v>
      </c>
      <c r="AI107" s="35">
        <f>822.05+1577.9+1624.92+3526.2</f>
        <v>7551.07</v>
      </c>
      <c r="AJ107" s="35"/>
      <c r="AK107" s="35"/>
      <c r="AL107" s="35">
        <v>6</v>
      </c>
      <c r="AM107" s="35">
        <v>6613.9</v>
      </c>
      <c r="AN107" s="36">
        <v>3</v>
      </c>
      <c r="AO107" s="36">
        <f>865.52+1080.88</f>
        <v>1946.4</v>
      </c>
      <c r="AP107" s="36"/>
      <c r="AQ107" s="35"/>
      <c r="AR107" s="35"/>
      <c r="AS107" s="35"/>
      <c r="AT107" s="35"/>
      <c r="AU107" s="35"/>
    </row>
    <row r="108" spans="1:47" s="7" customFormat="1" ht="15.75" customHeight="1" x14ac:dyDescent="0.35">
      <c r="A108" s="12" t="s">
        <v>324</v>
      </c>
      <c r="B108" s="33">
        <v>97732.09</v>
      </c>
      <c r="C108" s="35">
        <f t="shared" si="1"/>
        <v>67862.89</v>
      </c>
      <c r="D108" s="35"/>
      <c r="E108" s="35"/>
      <c r="F108" s="35"/>
      <c r="G108" s="35"/>
      <c r="H108" s="35"/>
      <c r="I108" s="35"/>
      <c r="J108" s="35">
        <v>20.5</v>
      </c>
      <c r="K108" s="35">
        <v>1789.26</v>
      </c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>
        <v>10</v>
      </c>
      <c r="Y108" s="35">
        <v>3504.98</v>
      </c>
      <c r="Z108" s="35"/>
      <c r="AA108" s="35"/>
      <c r="AB108" s="35"/>
      <c r="AC108" s="35"/>
      <c r="AD108" s="35"/>
      <c r="AE108" s="35"/>
      <c r="AF108" s="35"/>
      <c r="AG108" s="35"/>
      <c r="AH108" s="35">
        <v>19</v>
      </c>
      <c r="AI108" s="35">
        <v>50302.879999999997</v>
      </c>
      <c r="AJ108" s="35">
        <f>5+12</f>
        <v>17</v>
      </c>
      <c r="AK108" s="35">
        <f>10874+1391.77</f>
        <v>12265.77</v>
      </c>
      <c r="AL108" s="35"/>
      <c r="AM108" s="35"/>
      <c r="AN108" s="36"/>
      <c r="AO108" s="36"/>
      <c r="AP108" s="36"/>
      <c r="AQ108" s="35"/>
      <c r="AR108" s="35"/>
      <c r="AS108" s="35"/>
      <c r="AT108" s="35"/>
      <c r="AU108" s="35"/>
    </row>
    <row r="109" spans="1:47" s="7" customFormat="1" ht="15.75" customHeight="1" x14ac:dyDescent="0.35">
      <c r="A109" s="12" t="s">
        <v>323</v>
      </c>
      <c r="B109" s="33">
        <v>427982.16</v>
      </c>
      <c r="C109" s="35">
        <f t="shared" si="1"/>
        <v>330451.88900000002</v>
      </c>
      <c r="D109" s="35">
        <v>6</v>
      </c>
      <c r="E109" s="35">
        <v>10448.15</v>
      </c>
      <c r="F109" s="35"/>
      <c r="G109" s="35"/>
      <c r="H109" s="35"/>
      <c r="I109" s="35"/>
      <c r="J109" s="35">
        <v>24</v>
      </c>
      <c r="K109" s="35">
        <v>2301.87</v>
      </c>
      <c r="L109" s="35">
        <v>1329</v>
      </c>
      <c r="M109" s="35">
        <v>248253</v>
      </c>
      <c r="N109" s="35"/>
      <c r="O109" s="35"/>
      <c r="P109" s="35">
        <v>50</v>
      </c>
      <c r="Q109" s="35">
        <f>792.46+2639+1957.64+1349.81+7890.88</f>
        <v>14629.79</v>
      </c>
      <c r="R109" s="35">
        <v>7</v>
      </c>
      <c r="S109" s="35">
        <f>641.85+1129.4+301+376.479</f>
        <v>2448.7289999999998</v>
      </c>
      <c r="T109" s="35">
        <v>18</v>
      </c>
      <c r="U109" s="35">
        <v>10357.74</v>
      </c>
      <c r="V109" s="35"/>
      <c r="W109" s="35"/>
      <c r="X109" s="35">
        <v>3</v>
      </c>
      <c r="Y109" s="35">
        <v>925.12</v>
      </c>
      <c r="Z109" s="35"/>
      <c r="AA109" s="35"/>
      <c r="AB109" s="35"/>
      <c r="AC109" s="35"/>
      <c r="AD109" s="35">
        <v>19</v>
      </c>
      <c r="AE109" s="35">
        <f>8080.64+15622.2</f>
        <v>23702.84</v>
      </c>
      <c r="AF109" s="35"/>
      <c r="AG109" s="35"/>
      <c r="AH109" s="35"/>
      <c r="AI109" s="35"/>
      <c r="AJ109" s="35">
        <v>100</v>
      </c>
      <c r="AK109" s="35">
        <v>9097.7999999999993</v>
      </c>
      <c r="AL109" s="35">
        <v>4</v>
      </c>
      <c r="AM109" s="35">
        <v>7854.08</v>
      </c>
      <c r="AN109" s="36">
        <v>1</v>
      </c>
      <c r="AO109" s="36">
        <v>432.77</v>
      </c>
      <c r="AP109" s="36"/>
      <c r="AQ109" s="35"/>
      <c r="AR109" s="35"/>
      <c r="AS109" s="35"/>
      <c r="AT109" s="35"/>
      <c r="AU109" s="35"/>
    </row>
    <row r="110" spans="1:47" s="7" customFormat="1" ht="15.75" customHeight="1" x14ac:dyDescent="0.35">
      <c r="A110" s="13" t="s">
        <v>322</v>
      </c>
      <c r="B110" s="33">
        <v>444847.32</v>
      </c>
      <c r="C110" s="35">
        <f t="shared" si="1"/>
        <v>271638.49900000001</v>
      </c>
      <c r="D110" s="35"/>
      <c r="E110" s="35"/>
      <c r="F110" s="35"/>
      <c r="G110" s="35"/>
      <c r="H110" s="35"/>
      <c r="I110" s="35"/>
      <c r="J110" s="35">
        <v>12</v>
      </c>
      <c r="K110" s="35">
        <v>1900.25</v>
      </c>
      <c r="L110" s="35">
        <v>518</v>
      </c>
      <c r="M110" s="35">
        <v>164699</v>
      </c>
      <c r="N110" s="35"/>
      <c r="O110" s="35"/>
      <c r="P110" s="35">
        <v>21</v>
      </c>
      <c r="Q110" s="35">
        <f>1829.99+996+3082</f>
        <v>5907.99</v>
      </c>
      <c r="R110" s="35">
        <v>1</v>
      </c>
      <c r="S110" s="35">
        <v>376.47899999999998</v>
      </c>
      <c r="T110" s="35">
        <f>15+9</f>
        <v>24</v>
      </c>
      <c r="U110" s="35">
        <f>30867.5+11349.2</f>
        <v>42216.7</v>
      </c>
      <c r="V110" s="35"/>
      <c r="W110" s="35"/>
      <c r="X110" s="35"/>
      <c r="Y110" s="35"/>
      <c r="Z110" s="35">
        <v>2</v>
      </c>
      <c r="AA110" s="35">
        <v>3257</v>
      </c>
      <c r="AB110" s="35"/>
      <c r="AC110" s="35"/>
      <c r="AD110" s="35">
        <f>12+15</f>
        <v>27</v>
      </c>
      <c r="AE110" s="35">
        <f>7881.9+3551.61+9887.28+3954</f>
        <v>25274.79</v>
      </c>
      <c r="AF110" s="35"/>
      <c r="AG110" s="35"/>
      <c r="AH110" s="35"/>
      <c r="AI110" s="35"/>
      <c r="AJ110" s="35"/>
      <c r="AK110" s="35"/>
      <c r="AL110" s="35"/>
      <c r="AM110" s="35"/>
      <c r="AN110" s="36">
        <v>11</v>
      </c>
      <c r="AO110" s="36">
        <f>432.77+5793</f>
        <v>6225.77</v>
      </c>
      <c r="AP110" s="36"/>
      <c r="AQ110" s="35">
        <v>21780.52</v>
      </c>
      <c r="AR110" s="35"/>
      <c r="AS110" s="35"/>
      <c r="AT110" s="35"/>
      <c r="AU110" s="35"/>
    </row>
    <row r="111" spans="1:47" s="7" customFormat="1" ht="15.75" customHeight="1" x14ac:dyDescent="0.35">
      <c r="A111" s="13" t="s">
        <v>321</v>
      </c>
      <c r="B111" s="33">
        <v>374589.48</v>
      </c>
      <c r="C111" s="35">
        <f t="shared" si="1"/>
        <v>182135.85</v>
      </c>
      <c r="D111" s="35">
        <v>6</v>
      </c>
      <c r="E111" s="35">
        <v>6708.15</v>
      </c>
      <c r="F111" s="35"/>
      <c r="G111" s="35"/>
      <c r="H111" s="35"/>
      <c r="I111" s="35"/>
      <c r="J111" s="35">
        <v>16.5</v>
      </c>
      <c r="K111" s="35">
        <v>1988.41</v>
      </c>
      <c r="L111" s="35">
        <v>25</v>
      </c>
      <c r="M111" s="35">
        <v>101872</v>
      </c>
      <c r="N111" s="35"/>
      <c r="O111" s="35"/>
      <c r="P111" s="35">
        <f>45+8</f>
        <v>53</v>
      </c>
      <c r="Q111" s="35">
        <f>3983.18+18076.2</f>
        <v>22059.38</v>
      </c>
      <c r="R111" s="35"/>
      <c r="S111" s="35"/>
      <c r="T111" s="35"/>
      <c r="U111" s="35"/>
      <c r="V111" s="35"/>
      <c r="W111" s="35"/>
      <c r="X111" s="35">
        <v>40</v>
      </c>
      <c r="Y111" s="35">
        <v>16121.16</v>
      </c>
      <c r="Z111" s="35">
        <v>6</v>
      </c>
      <c r="AA111" s="35">
        <v>19069.98</v>
      </c>
      <c r="AB111" s="35"/>
      <c r="AC111" s="35"/>
      <c r="AD111" s="35"/>
      <c r="AE111" s="35"/>
      <c r="AF111" s="35"/>
      <c r="AG111" s="35"/>
      <c r="AH111" s="35"/>
      <c r="AI111" s="35"/>
      <c r="AJ111" s="35">
        <v>15</v>
      </c>
      <c r="AK111" s="35">
        <v>13884</v>
      </c>
      <c r="AL111" s="35"/>
      <c r="AM111" s="35"/>
      <c r="AN111" s="36">
        <v>2</v>
      </c>
      <c r="AO111" s="36">
        <v>432.77</v>
      </c>
      <c r="AP111" s="36"/>
      <c r="AQ111" s="35"/>
      <c r="AR111" s="35"/>
      <c r="AS111" s="35"/>
      <c r="AT111" s="35"/>
      <c r="AU111" s="35"/>
    </row>
    <row r="112" spans="1:47" s="7" customFormat="1" ht="15.75" customHeight="1" x14ac:dyDescent="0.35">
      <c r="A112" s="13" t="s">
        <v>320</v>
      </c>
      <c r="B112" s="33">
        <v>6506.28</v>
      </c>
      <c r="C112" s="35">
        <f t="shared" si="1"/>
        <v>14933.76</v>
      </c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>
        <v>5</v>
      </c>
      <c r="U112" s="35">
        <v>4158</v>
      </c>
      <c r="V112" s="35"/>
      <c r="W112" s="35"/>
      <c r="X112" s="35"/>
      <c r="Y112" s="35"/>
      <c r="Z112" s="35"/>
      <c r="AA112" s="35"/>
      <c r="AB112" s="35"/>
      <c r="AC112" s="35"/>
      <c r="AD112" s="35">
        <v>4</v>
      </c>
      <c r="AE112" s="35">
        <v>5367.83</v>
      </c>
      <c r="AF112" s="35"/>
      <c r="AG112" s="35"/>
      <c r="AH112" s="35">
        <v>1</v>
      </c>
      <c r="AI112" s="35">
        <v>2228.1</v>
      </c>
      <c r="AJ112" s="35">
        <v>10</v>
      </c>
      <c r="AK112" s="35">
        <v>842.07</v>
      </c>
      <c r="AL112" s="35">
        <v>2</v>
      </c>
      <c r="AM112" s="35">
        <v>1904.99</v>
      </c>
      <c r="AN112" s="36">
        <v>3</v>
      </c>
      <c r="AO112" s="36">
        <v>432.77</v>
      </c>
      <c r="AP112" s="36"/>
      <c r="AQ112" s="35"/>
      <c r="AR112" s="35"/>
      <c r="AS112" s="35"/>
      <c r="AT112" s="35"/>
      <c r="AU112" s="35"/>
    </row>
    <row r="113" spans="1:47" s="7" customFormat="1" ht="15.75" customHeight="1" x14ac:dyDescent="0.35">
      <c r="A113" s="13" t="s">
        <v>319</v>
      </c>
      <c r="B113" s="33">
        <v>74816.399999999994</v>
      </c>
      <c r="C113" s="35">
        <f t="shared" si="1"/>
        <v>47176.612000000008</v>
      </c>
      <c r="D113" s="35">
        <v>9</v>
      </c>
      <c r="E113" s="35">
        <v>4664</v>
      </c>
      <c r="F113" s="35"/>
      <c r="G113" s="35"/>
      <c r="H113" s="35"/>
      <c r="I113" s="35"/>
      <c r="J113" s="35">
        <v>4.5</v>
      </c>
      <c r="K113" s="35">
        <v>462.83</v>
      </c>
      <c r="L113" s="35"/>
      <c r="M113" s="35"/>
      <c r="N113" s="35"/>
      <c r="O113" s="35"/>
      <c r="P113" s="35">
        <v>6</v>
      </c>
      <c r="Q113" s="35">
        <f>1937.67+3247</f>
        <v>5184.67</v>
      </c>
      <c r="R113" s="35">
        <v>2</v>
      </c>
      <c r="S113" s="35">
        <f>1404.9+376.48</f>
        <v>1781.38</v>
      </c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>
        <v>25</v>
      </c>
      <c r="AK113" s="35">
        <f>16626.9+842.072</f>
        <v>17468.972000000002</v>
      </c>
      <c r="AL113" s="35"/>
      <c r="AM113" s="35"/>
      <c r="AN113" s="36">
        <f>6+8</f>
        <v>14</v>
      </c>
      <c r="AO113" s="36">
        <f>432.77+5543.72+10759.27+879</f>
        <v>17614.760000000002</v>
      </c>
      <c r="AP113" s="36"/>
      <c r="AQ113" s="35"/>
      <c r="AR113" s="35"/>
      <c r="AS113" s="35"/>
      <c r="AT113" s="35"/>
      <c r="AU113" s="35"/>
    </row>
    <row r="114" spans="1:47" s="7" customFormat="1" ht="15.75" customHeight="1" x14ac:dyDescent="0.35">
      <c r="A114" s="13" t="s">
        <v>318</v>
      </c>
      <c r="B114" s="33">
        <v>100621.92</v>
      </c>
      <c r="C114" s="35">
        <f t="shared" si="1"/>
        <v>15151.59</v>
      </c>
      <c r="D114" s="35"/>
      <c r="E114" s="35"/>
      <c r="F114" s="35"/>
      <c r="G114" s="35"/>
      <c r="H114" s="35"/>
      <c r="I114" s="35"/>
      <c r="J114" s="35">
        <v>3</v>
      </c>
      <c r="K114" s="35">
        <v>4132.3599999999997</v>
      </c>
      <c r="L114" s="35"/>
      <c r="M114" s="35"/>
      <c r="N114" s="35"/>
      <c r="O114" s="35"/>
      <c r="P114" s="35">
        <v>3</v>
      </c>
      <c r="Q114" s="35">
        <f>1138.59+1608.34</f>
        <v>2746.93</v>
      </c>
      <c r="R114" s="35"/>
      <c r="S114" s="35"/>
      <c r="T114" s="35">
        <v>5</v>
      </c>
      <c r="U114" s="35">
        <v>6527.76</v>
      </c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36">
        <v>3</v>
      </c>
      <c r="AO114" s="36">
        <f>432.77+432.77+879</f>
        <v>1744.54</v>
      </c>
      <c r="AP114" s="36"/>
      <c r="AQ114" s="35"/>
      <c r="AR114" s="35"/>
      <c r="AS114" s="35"/>
      <c r="AT114" s="35"/>
      <c r="AU114" s="35"/>
    </row>
    <row r="115" spans="1:47" s="7" customFormat="1" ht="15.75" customHeight="1" x14ac:dyDescent="0.35">
      <c r="A115" s="13" t="s">
        <v>317</v>
      </c>
      <c r="B115" s="33">
        <v>202059.24</v>
      </c>
      <c r="C115" s="35">
        <f t="shared" si="1"/>
        <v>407609.70600000001</v>
      </c>
      <c r="D115" s="35">
        <v>1</v>
      </c>
      <c r="E115" s="35">
        <v>679</v>
      </c>
      <c r="F115" s="35"/>
      <c r="G115" s="35"/>
      <c r="H115" s="35"/>
      <c r="I115" s="35"/>
      <c r="J115" s="35">
        <v>6</v>
      </c>
      <c r="K115" s="35">
        <v>950.12</v>
      </c>
      <c r="L115" s="35">
        <v>473</v>
      </c>
      <c r="M115" s="35">
        <v>123596</v>
      </c>
      <c r="N115" s="35"/>
      <c r="O115" s="35"/>
      <c r="P115" s="35">
        <v>4</v>
      </c>
      <c r="Q115" s="35">
        <f>995.79+153.719</f>
        <v>1149.509</v>
      </c>
      <c r="R115" s="35">
        <v>1</v>
      </c>
      <c r="S115" s="35">
        <v>6187.88</v>
      </c>
      <c r="T115" s="35">
        <f>18+8+12</f>
        <v>38</v>
      </c>
      <c r="U115" s="35">
        <f>57714.9+10771+3181</f>
        <v>71666.899999999994</v>
      </c>
      <c r="V115" s="35"/>
      <c r="W115" s="35"/>
      <c r="X115" s="35">
        <v>6.5</v>
      </c>
      <c r="Y115" s="35">
        <v>22745.86</v>
      </c>
      <c r="Z115" s="35">
        <f>13.5+8</f>
        <v>21.5</v>
      </c>
      <c r="AA115" s="35">
        <f>2202.458+5575.035+1313.484</f>
        <v>9090.9770000000008</v>
      </c>
      <c r="AB115" s="35"/>
      <c r="AC115" s="35"/>
      <c r="AD115" s="35">
        <v>70</v>
      </c>
      <c r="AE115" s="35">
        <f>4103.356+844.384+9453</f>
        <v>14400.74</v>
      </c>
      <c r="AF115" s="35"/>
      <c r="AG115" s="35"/>
      <c r="AH115" s="35">
        <v>6</v>
      </c>
      <c r="AI115" s="35">
        <v>111982</v>
      </c>
      <c r="AJ115" s="35"/>
      <c r="AK115" s="35"/>
      <c r="AL115" s="35"/>
      <c r="AM115" s="35"/>
      <c r="AN115" s="36">
        <v>3</v>
      </c>
      <c r="AO115" s="36">
        <f>432.77+1108.74+879</f>
        <v>2420.5100000000002</v>
      </c>
      <c r="AP115" s="36"/>
      <c r="AQ115" s="35">
        <v>42740.21</v>
      </c>
      <c r="AR115" s="35"/>
      <c r="AS115" s="35"/>
      <c r="AT115" s="35"/>
      <c r="AU115" s="35"/>
    </row>
    <row r="116" spans="1:47" s="7" customFormat="1" ht="15.75" customHeight="1" x14ac:dyDescent="0.35">
      <c r="A116" s="13" t="s">
        <v>316</v>
      </c>
      <c r="B116" s="33">
        <v>169891.44</v>
      </c>
      <c r="C116" s="35">
        <f t="shared" si="1"/>
        <v>199818.37</v>
      </c>
      <c r="D116" s="35">
        <v>6</v>
      </c>
      <c r="E116" s="35">
        <v>3009.93</v>
      </c>
      <c r="F116" s="35"/>
      <c r="G116" s="35"/>
      <c r="H116" s="35"/>
      <c r="I116" s="35"/>
      <c r="J116" s="35">
        <v>3</v>
      </c>
      <c r="K116" s="35">
        <v>475.06</v>
      </c>
      <c r="L116" s="35"/>
      <c r="M116" s="35"/>
      <c r="N116" s="35"/>
      <c r="O116" s="35"/>
      <c r="P116" s="35">
        <v>16</v>
      </c>
      <c r="Q116" s="35">
        <f>1605.79+13044.41</f>
        <v>14650.2</v>
      </c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>
        <v>73</v>
      </c>
      <c r="AE116" s="35">
        <f>38026.2+135085.8</f>
        <v>173112</v>
      </c>
      <c r="AF116" s="35"/>
      <c r="AG116" s="35"/>
      <c r="AH116" s="35">
        <v>11</v>
      </c>
      <c r="AI116" s="35">
        <v>1064.8</v>
      </c>
      <c r="AJ116" s="35">
        <v>25</v>
      </c>
      <c r="AK116" s="35">
        <v>3497</v>
      </c>
      <c r="AL116" s="35"/>
      <c r="AM116" s="35"/>
      <c r="AN116" s="36">
        <v>9</v>
      </c>
      <c r="AO116" s="36">
        <f>432.77+939.61+2637</f>
        <v>4009.38</v>
      </c>
      <c r="AP116" s="36"/>
      <c r="AQ116" s="35"/>
      <c r="AR116" s="35"/>
      <c r="AS116" s="35"/>
      <c r="AT116" s="35"/>
      <c r="AU116" s="35"/>
    </row>
    <row r="117" spans="1:47" s="7" customFormat="1" ht="15.75" customHeight="1" x14ac:dyDescent="0.35">
      <c r="A117" s="13" t="s">
        <v>315</v>
      </c>
      <c r="B117" s="33">
        <v>64800.36</v>
      </c>
      <c r="C117" s="35">
        <f t="shared" si="1"/>
        <v>23153.210000000003</v>
      </c>
      <c r="D117" s="35"/>
      <c r="E117" s="35"/>
      <c r="F117" s="35"/>
      <c r="G117" s="35"/>
      <c r="H117" s="35"/>
      <c r="I117" s="35"/>
      <c r="J117" s="35">
        <v>6</v>
      </c>
      <c r="K117" s="35">
        <v>950.12</v>
      </c>
      <c r="L117" s="35"/>
      <c r="M117" s="35"/>
      <c r="N117" s="35"/>
      <c r="O117" s="35"/>
      <c r="P117" s="35">
        <v>3</v>
      </c>
      <c r="Q117" s="35">
        <f>1220+9272.26</f>
        <v>10492.26</v>
      </c>
      <c r="R117" s="35"/>
      <c r="S117" s="35"/>
      <c r="T117" s="35">
        <v>3</v>
      </c>
      <c r="U117" s="35">
        <v>5156.5600000000004</v>
      </c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>
        <v>2</v>
      </c>
      <c r="AG117" s="35">
        <v>6554.27</v>
      </c>
      <c r="AH117" s="35"/>
      <c r="AI117" s="35"/>
      <c r="AJ117" s="35"/>
      <c r="AK117" s="35"/>
      <c r="AL117" s="35"/>
      <c r="AM117" s="35"/>
      <c r="AN117" s="36"/>
      <c r="AO117" s="36"/>
      <c r="AP117" s="36"/>
      <c r="AQ117" s="35"/>
      <c r="AR117" s="35"/>
      <c r="AS117" s="35"/>
      <c r="AT117" s="35"/>
      <c r="AU117" s="35"/>
    </row>
    <row r="118" spans="1:47" s="7" customFormat="1" ht="15.75" customHeight="1" x14ac:dyDescent="0.35">
      <c r="A118" s="13" t="s">
        <v>314</v>
      </c>
      <c r="B118" s="33">
        <v>156210.35999999999</v>
      </c>
      <c r="C118" s="35">
        <f t="shared" si="1"/>
        <v>248756.71000000002</v>
      </c>
      <c r="D118" s="35"/>
      <c r="E118" s="35"/>
      <c r="F118" s="35"/>
      <c r="G118" s="35"/>
      <c r="H118" s="35"/>
      <c r="I118" s="35"/>
      <c r="J118" s="35">
        <v>3</v>
      </c>
      <c r="K118" s="35">
        <v>475.06</v>
      </c>
      <c r="L118" s="35">
        <v>846</v>
      </c>
      <c r="M118" s="35">
        <v>161654</v>
      </c>
      <c r="N118" s="35"/>
      <c r="O118" s="35"/>
      <c r="P118" s="35">
        <v>25</v>
      </c>
      <c r="Q118" s="35">
        <f>7716.37+1601.41+3750.04</f>
        <v>13067.82</v>
      </c>
      <c r="R118" s="35">
        <v>3</v>
      </c>
      <c r="S118" s="35">
        <f>1404.9+376.48</f>
        <v>1781.38</v>
      </c>
      <c r="T118" s="35">
        <v>7</v>
      </c>
      <c r="U118" s="35">
        <v>8305</v>
      </c>
      <c r="V118" s="35"/>
      <c r="W118" s="35"/>
      <c r="X118" s="35">
        <v>3.5</v>
      </c>
      <c r="Y118" s="35">
        <v>1111.42</v>
      </c>
      <c r="Z118" s="35">
        <v>8</v>
      </c>
      <c r="AA118" s="35">
        <v>32884.58</v>
      </c>
      <c r="AB118" s="35"/>
      <c r="AC118" s="35"/>
      <c r="AD118" s="35"/>
      <c r="AE118" s="35"/>
      <c r="AF118" s="35"/>
      <c r="AG118" s="35"/>
      <c r="AH118" s="35">
        <v>7</v>
      </c>
      <c r="AI118" s="35">
        <v>11082.22</v>
      </c>
      <c r="AJ118" s="35">
        <v>30</v>
      </c>
      <c r="AK118" s="35">
        <v>2480.5100000000002</v>
      </c>
      <c r="AL118" s="35">
        <v>14</v>
      </c>
      <c r="AM118" s="35">
        <v>7630.49</v>
      </c>
      <c r="AN118" s="36">
        <v>9</v>
      </c>
      <c r="AO118" s="36">
        <f>5976.49+1108.74+1199</f>
        <v>8284.23</v>
      </c>
      <c r="AP118" s="36"/>
      <c r="AQ118" s="35"/>
      <c r="AR118" s="35"/>
      <c r="AS118" s="35"/>
      <c r="AT118" s="35"/>
      <c r="AU118" s="35"/>
    </row>
    <row r="119" spans="1:47" s="7" customFormat="1" ht="15.75" customHeight="1" x14ac:dyDescent="0.35">
      <c r="A119" s="13" t="s">
        <v>313</v>
      </c>
      <c r="B119" s="33">
        <v>207536.28</v>
      </c>
      <c r="C119" s="35">
        <f t="shared" si="1"/>
        <v>58323.35</v>
      </c>
      <c r="D119" s="35"/>
      <c r="E119" s="35"/>
      <c r="F119" s="35"/>
      <c r="G119" s="35"/>
      <c r="H119" s="35"/>
      <c r="I119" s="35"/>
      <c r="J119" s="35">
        <f>9+4.5+4</f>
        <v>17.5</v>
      </c>
      <c r="K119" s="35">
        <f>1425.18+1256.34</f>
        <v>2681.52</v>
      </c>
      <c r="L119" s="35"/>
      <c r="M119" s="35"/>
      <c r="N119" s="35"/>
      <c r="O119" s="35"/>
      <c r="P119" s="35">
        <v>28</v>
      </c>
      <c r="Q119" s="35">
        <f>771.6+4978.97+7929.91+4003.53+993.56</f>
        <v>18677.57</v>
      </c>
      <c r="R119" s="35">
        <v>1</v>
      </c>
      <c r="S119" s="35">
        <v>14669.8</v>
      </c>
      <c r="T119" s="35">
        <v>35</v>
      </c>
      <c r="U119" s="35">
        <v>1861</v>
      </c>
      <c r="V119" s="35"/>
      <c r="W119" s="35"/>
      <c r="X119" s="35">
        <v>1</v>
      </c>
      <c r="Y119" s="35">
        <v>945.18</v>
      </c>
      <c r="Z119" s="35"/>
      <c r="AA119" s="35"/>
      <c r="AB119" s="35"/>
      <c r="AC119" s="35"/>
      <c r="AD119" s="35">
        <v>10</v>
      </c>
      <c r="AE119" s="35">
        <v>5104.3500000000004</v>
      </c>
      <c r="AF119" s="35">
        <v>3</v>
      </c>
      <c r="AG119" s="35">
        <v>3372.29</v>
      </c>
      <c r="AH119" s="35">
        <v>5</v>
      </c>
      <c r="AI119" s="35">
        <f>409.93+2781.2</f>
        <v>3191.1299999999997</v>
      </c>
      <c r="AJ119" s="35"/>
      <c r="AK119" s="35"/>
      <c r="AL119" s="35">
        <v>4</v>
      </c>
      <c r="AM119" s="35">
        <v>5401</v>
      </c>
      <c r="AN119" s="36">
        <v>5</v>
      </c>
      <c r="AO119" s="36">
        <f>432.77+1108.74+878</f>
        <v>2419.5100000000002</v>
      </c>
      <c r="AP119" s="36"/>
      <c r="AQ119" s="35"/>
      <c r="AR119" s="35"/>
      <c r="AS119" s="35"/>
      <c r="AT119" s="35"/>
      <c r="AU119" s="35"/>
    </row>
    <row r="120" spans="1:47" s="7" customFormat="1" ht="15.75" customHeight="1" x14ac:dyDescent="0.35">
      <c r="A120" s="13" t="s">
        <v>312</v>
      </c>
      <c r="B120" s="33">
        <v>561116.4</v>
      </c>
      <c r="C120" s="35">
        <f t="shared" si="1"/>
        <v>188312.87599999999</v>
      </c>
      <c r="D120" s="35">
        <v>4</v>
      </c>
      <c r="E120" s="35">
        <v>2776</v>
      </c>
      <c r="F120" s="35"/>
      <c r="G120" s="35"/>
      <c r="H120" s="35"/>
      <c r="I120" s="35"/>
      <c r="J120" s="35">
        <v>81</v>
      </c>
      <c r="K120" s="35">
        <f>9554.81+1997</f>
        <v>11551.81</v>
      </c>
      <c r="L120" s="35">
        <v>440</v>
      </c>
      <c r="M120" s="35">
        <v>124079</v>
      </c>
      <c r="N120" s="35"/>
      <c r="O120" s="35"/>
      <c r="P120" s="35">
        <v>22</v>
      </c>
      <c r="Q120" s="35">
        <f>1213.81+3800.14+1213.81+3637.87+4160.68</f>
        <v>14026.310000000001</v>
      </c>
      <c r="R120" s="35">
        <v>3</v>
      </c>
      <c r="S120" s="35">
        <f>376.48+62.38+752.946</f>
        <v>1191.806</v>
      </c>
      <c r="T120" s="35"/>
      <c r="U120" s="35"/>
      <c r="V120" s="35">
        <v>2</v>
      </c>
      <c r="W120" s="35">
        <v>62.327599999999997</v>
      </c>
      <c r="X120" s="35"/>
      <c r="Y120" s="35"/>
      <c r="Z120" s="35"/>
      <c r="AA120" s="35"/>
      <c r="AB120" s="35"/>
      <c r="AC120" s="35"/>
      <c r="AD120" s="35">
        <f>15+7</f>
        <v>22</v>
      </c>
      <c r="AE120" s="35">
        <f>6141.02+3986</f>
        <v>10127.02</v>
      </c>
      <c r="AF120" s="35"/>
      <c r="AG120" s="35"/>
      <c r="AH120" s="35"/>
      <c r="AI120" s="35"/>
      <c r="AJ120" s="35">
        <v>12</v>
      </c>
      <c r="AK120" s="35">
        <v>1010.48</v>
      </c>
      <c r="AL120" s="35">
        <v>30</v>
      </c>
      <c r="AM120" s="35">
        <f>14365.2+1124.48</f>
        <v>15489.68</v>
      </c>
      <c r="AN120" s="36">
        <v>9</v>
      </c>
      <c r="AO120" s="36">
        <f>5640.26+432.77+1108.74+879</f>
        <v>8060.77</v>
      </c>
      <c r="AP120" s="36"/>
      <c r="AQ120" s="35"/>
      <c r="AR120" s="35"/>
      <c r="AS120" s="35"/>
      <c r="AT120" s="35"/>
      <c r="AU120" s="35"/>
    </row>
    <row r="121" spans="1:47" s="56" customFormat="1" ht="15.75" customHeight="1" x14ac:dyDescent="0.35">
      <c r="A121" s="13" t="s">
        <v>311</v>
      </c>
      <c r="B121" s="33">
        <v>134776.32000000001</v>
      </c>
      <c r="C121" s="35">
        <f t="shared" si="1"/>
        <v>100956.39999999998</v>
      </c>
      <c r="D121" s="35">
        <v>8.1</v>
      </c>
      <c r="E121" s="35">
        <v>4946.8900000000003</v>
      </c>
      <c r="F121" s="35"/>
      <c r="G121" s="35"/>
      <c r="H121" s="35"/>
      <c r="I121" s="35"/>
      <c r="J121" s="35">
        <v>74</v>
      </c>
      <c r="K121" s="35">
        <f>475.06+3138.36+37062.03+95</f>
        <v>40770.449999999997</v>
      </c>
      <c r="L121" s="35"/>
      <c r="M121" s="35"/>
      <c r="N121" s="35"/>
      <c r="O121" s="35"/>
      <c r="P121" s="35">
        <v>4</v>
      </c>
      <c r="Q121" s="35">
        <f>1130.51+1985.94</f>
        <v>3116.45</v>
      </c>
      <c r="R121" s="35">
        <v>5</v>
      </c>
      <c r="S121" s="35">
        <f>3729+383.03+376.48+1181</f>
        <v>5669.51</v>
      </c>
      <c r="T121" s="35"/>
      <c r="U121" s="35"/>
      <c r="V121" s="35"/>
      <c r="W121" s="35"/>
      <c r="X121" s="35">
        <v>6</v>
      </c>
      <c r="Y121" s="35">
        <v>1849.06</v>
      </c>
      <c r="Z121" s="35"/>
      <c r="AA121" s="35"/>
      <c r="AB121" s="35"/>
      <c r="AC121" s="35"/>
      <c r="AD121" s="35">
        <v>20</v>
      </c>
      <c r="AE121" s="35">
        <v>18793</v>
      </c>
      <c r="AF121" s="35"/>
      <c r="AG121" s="35"/>
      <c r="AH121" s="35"/>
      <c r="AI121" s="35"/>
      <c r="AJ121" s="35"/>
      <c r="AK121" s="35"/>
      <c r="AL121" s="35">
        <v>32</v>
      </c>
      <c r="AM121" s="35">
        <v>24945.5</v>
      </c>
      <c r="AN121" s="36">
        <v>2</v>
      </c>
      <c r="AO121" s="36">
        <f>432.77+432.77</f>
        <v>865.54</v>
      </c>
      <c r="AP121" s="36"/>
      <c r="AQ121" s="35"/>
      <c r="AR121" s="35"/>
      <c r="AS121" s="35"/>
      <c r="AT121" s="35"/>
      <c r="AU121" s="35"/>
    </row>
    <row r="122" spans="1:47" s="56" customFormat="1" ht="15.75" customHeight="1" x14ac:dyDescent="0.35">
      <c r="A122" s="13" t="s">
        <v>310</v>
      </c>
      <c r="B122" s="33">
        <v>113008.08</v>
      </c>
      <c r="C122" s="35">
        <f t="shared" si="1"/>
        <v>34179.811000000002</v>
      </c>
      <c r="D122" s="35"/>
      <c r="E122" s="35"/>
      <c r="F122" s="35"/>
      <c r="G122" s="35"/>
      <c r="H122" s="35"/>
      <c r="I122" s="35"/>
      <c r="J122" s="35">
        <v>6</v>
      </c>
      <c r="K122" s="35">
        <v>950.12</v>
      </c>
      <c r="L122" s="35"/>
      <c r="M122" s="35"/>
      <c r="N122" s="35"/>
      <c r="O122" s="35"/>
      <c r="P122" s="35">
        <f>14+4</f>
        <v>18</v>
      </c>
      <c r="Q122" s="35">
        <f>2352.85+2364.73+4116</f>
        <v>8833.58</v>
      </c>
      <c r="R122" s="35">
        <v>2</v>
      </c>
      <c r="S122" s="35">
        <f>4138.1+376.48</f>
        <v>4514.58</v>
      </c>
      <c r="T122" s="35"/>
      <c r="U122" s="35"/>
      <c r="V122" s="35">
        <v>2</v>
      </c>
      <c r="W122" s="35">
        <v>124</v>
      </c>
      <c r="X122" s="35"/>
      <c r="Y122" s="35"/>
      <c r="Z122" s="35"/>
      <c r="AA122" s="35"/>
      <c r="AB122" s="35"/>
      <c r="AC122" s="35"/>
      <c r="AD122" s="64">
        <v>37</v>
      </c>
      <c r="AE122" s="64">
        <v>19406.900000000001</v>
      </c>
      <c r="AF122" s="64"/>
      <c r="AG122" s="35"/>
      <c r="AH122" s="35">
        <v>1</v>
      </c>
      <c r="AI122" s="35">
        <v>474.63099999999997</v>
      </c>
      <c r="AJ122" s="35"/>
      <c r="AK122" s="35"/>
      <c r="AL122" s="35"/>
      <c r="AM122" s="35"/>
      <c r="AN122" s="36"/>
      <c r="AO122" s="36"/>
      <c r="AP122" s="36"/>
      <c r="AQ122" s="35"/>
      <c r="AR122" s="35"/>
      <c r="AS122" s="35"/>
      <c r="AT122" s="35"/>
      <c r="AU122" s="35"/>
    </row>
    <row r="123" spans="1:47" s="56" customFormat="1" ht="15.75" customHeight="1" x14ac:dyDescent="0.35">
      <c r="A123" s="13" t="s">
        <v>309</v>
      </c>
      <c r="B123" s="33">
        <v>284382</v>
      </c>
      <c r="C123" s="35">
        <f t="shared" si="1"/>
        <v>193773.46299999999</v>
      </c>
      <c r="D123" s="35">
        <f>6+37</f>
        <v>43</v>
      </c>
      <c r="E123" s="35">
        <f>3109.28+26847.36</f>
        <v>29956.639999999999</v>
      </c>
      <c r="F123" s="35"/>
      <c r="G123" s="35"/>
      <c r="H123" s="35"/>
      <c r="I123" s="35"/>
      <c r="J123" s="35">
        <v>19</v>
      </c>
      <c r="K123" s="35">
        <f>1425.18+3184.94</f>
        <v>4610.12</v>
      </c>
      <c r="L123" s="35"/>
      <c r="M123" s="35"/>
      <c r="N123" s="35"/>
      <c r="O123" s="35"/>
      <c r="P123" s="35">
        <v>26</v>
      </c>
      <c r="Q123" s="35">
        <f>1991.59+684.63+1607.5+7851.72</f>
        <v>12135.439999999999</v>
      </c>
      <c r="R123" s="35">
        <v>1</v>
      </c>
      <c r="S123" s="35">
        <f>697.9+376.479</f>
        <v>1074.3789999999999</v>
      </c>
      <c r="T123" s="35">
        <v>16</v>
      </c>
      <c r="U123" s="35">
        <f>9491.86+29734</f>
        <v>39225.86</v>
      </c>
      <c r="V123" s="35"/>
      <c r="W123" s="35"/>
      <c r="X123" s="35"/>
      <c r="Y123" s="35"/>
      <c r="Z123" s="35">
        <f>7+2.1</f>
        <v>9.1</v>
      </c>
      <c r="AA123" s="35">
        <f>5781.434+4840.36</f>
        <v>10621.794</v>
      </c>
      <c r="AB123" s="35"/>
      <c r="AC123" s="35"/>
      <c r="AD123" s="35">
        <v>75</v>
      </c>
      <c r="AE123" s="35">
        <f>1648.58+17485.04+2811.44</f>
        <v>21945.06</v>
      </c>
      <c r="AF123" s="35"/>
      <c r="AG123" s="35"/>
      <c r="AH123" s="35"/>
      <c r="AI123" s="35"/>
      <c r="AJ123" s="35">
        <f>11+39</f>
        <v>50</v>
      </c>
      <c r="AK123" s="35">
        <f>496.107+421.036+66016</f>
        <v>66933.142999999996</v>
      </c>
      <c r="AL123" s="35">
        <v>4</v>
      </c>
      <c r="AM123" s="35">
        <f>4140.33+244.437</f>
        <v>4384.7669999999998</v>
      </c>
      <c r="AN123" s="36">
        <v>4</v>
      </c>
      <c r="AO123" s="36">
        <f>1128.06+432.77+410.43+915</f>
        <v>2886.26</v>
      </c>
      <c r="AP123" s="36"/>
      <c r="AQ123" s="35"/>
      <c r="AR123" s="35"/>
      <c r="AS123" s="35"/>
      <c r="AT123" s="35"/>
      <c r="AU123" s="35"/>
    </row>
    <row r="124" spans="1:47" s="7" customFormat="1" ht="15.75" customHeight="1" x14ac:dyDescent="0.35">
      <c r="A124" s="13" t="s">
        <v>308</v>
      </c>
      <c r="B124" s="33">
        <v>51923.64</v>
      </c>
      <c r="C124" s="35">
        <f t="shared" si="1"/>
        <v>57544.381000000001</v>
      </c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>
        <v>11</v>
      </c>
      <c r="Q124" s="35">
        <f>765.631+4681</f>
        <v>5446.6310000000003</v>
      </c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>
        <v>59</v>
      </c>
      <c r="AE124" s="35">
        <f>2720.42+41963.21</f>
        <v>44683.63</v>
      </c>
      <c r="AF124" s="35"/>
      <c r="AG124" s="35"/>
      <c r="AH124" s="35">
        <v>8</v>
      </c>
      <c r="AI124" s="35">
        <f>819.85+3293.76</f>
        <v>4113.6100000000006</v>
      </c>
      <c r="AJ124" s="35"/>
      <c r="AK124" s="35"/>
      <c r="AL124" s="35"/>
      <c r="AM124" s="35"/>
      <c r="AN124" s="36">
        <v>3</v>
      </c>
      <c r="AO124" s="36">
        <f>432.77+1108.74+1759</f>
        <v>3300.51</v>
      </c>
      <c r="AP124" s="36"/>
      <c r="AQ124" s="35"/>
      <c r="AR124" s="35"/>
      <c r="AS124" s="35"/>
      <c r="AT124" s="35"/>
      <c r="AU124" s="35"/>
    </row>
    <row r="125" spans="1:47" s="7" customFormat="1" ht="15.75" customHeight="1" x14ac:dyDescent="0.35">
      <c r="A125" s="12" t="s">
        <v>307</v>
      </c>
      <c r="B125" s="33">
        <v>87477.66</v>
      </c>
      <c r="C125" s="35">
        <f t="shared" si="1"/>
        <v>367</v>
      </c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>
        <v>1</v>
      </c>
      <c r="S125" s="35">
        <v>367</v>
      </c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6"/>
      <c r="AO125" s="36"/>
      <c r="AP125" s="36"/>
      <c r="AQ125" s="35"/>
      <c r="AR125" s="35"/>
      <c r="AS125" s="35"/>
      <c r="AT125" s="35"/>
      <c r="AU125" s="35"/>
    </row>
    <row r="126" spans="1:47" s="7" customFormat="1" ht="15.75" customHeight="1" x14ac:dyDescent="0.35">
      <c r="A126" s="13" t="s">
        <v>306</v>
      </c>
      <c r="B126" s="33">
        <v>416316.72</v>
      </c>
      <c r="C126" s="35">
        <f t="shared" si="1"/>
        <v>350902.73599999998</v>
      </c>
      <c r="D126" s="35"/>
      <c r="E126" s="35"/>
      <c r="F126" s="35"/>
      <c r="G126" s="35"/>
      <c r="H126" s="35"/>
      <c r="I126" s="35"/>
      <c r="J126" s="35">
        <v>12.25</v>
      </c>
      <c r="K126" s="35">
        <f>496.36+5783</f>
        <v>6279.36</v>
      </c>
      <c r="L126" s="35">
        <v>762</v>
      </c>
      <c r="M126" s="35">
        <f>179846+122741</f>
        <v>302587</v>
      </c>
      <c r="N126" s="35"/>
      <c r="O126" s="35"/>
      <c r="P126" s="35">
        <v>12</v>
      </c>
      <c r="Q126" s="35">
        <f>800.772+3334.77+2144</f>
        <v>6279.5420000000004</v>
      </c>
      <c r="R126" s="35">
        <v>3</v>
      </c>
      <c r="S126" s="35">
        <v>8209</v>
      </c>
      <c r="T126" s="35">
        <v>35</v>
      </c>
      <c r="U126" s="35">
        <v>14808</v>
      </c>
      <c r="V126" s="35">
        <v>5</v>
      </c>
      <c r="W126" s="35">
        <v>6402.31</v>
      </c>
      <c r="X126" s="35"/>
      <c r="Y126" s="35"/>
      <c r="Z126" s="35"/>
      <c r="AA126" s="35"/>
      <c r="AB126" s="35"/>
      <c r="AC126" s="35"/>
      <c r="AD126" s="35">
        <v>11</v>
      </c>
      <c r="AE126" s="35">
        <f>5415.69+1734.317</f>
        <v>7150.0069999999996</v>
      </c>
      <c r="AF126" s="35"/>
      <c r="AG126" s="35"/>
      <c r="AH126" s="35">
        <v>3</v>
      </c>
      <c r="AI126" s="35">
        <f>1060.9+406.227</f>
        <v>1467.127</v>
      </c>
      <c r="AJ126" s="35">
        <v>3</v>
      </c>
      <c r="AK126" s="35">
        <v>3605.77</v>
      </c>
      <c r="AL126" s="35">
        <v>1</v>
      </c>
      <c r="AM126" s="35">
        <v>516.92999999999995</v>
      </c>
      <c r="AN126" s="36"/>
      <c r="AO126" s="36"/>
      <c r="AP126" s="36"/>
      <c r="AQ126" s="35"/>
      <c r="AR126" s="35"/>
      <c r="AS126" s="35"/>
      <c r="AT126" s="35"/>
      <c r="AU126" s="35"/>
    </row>
    <row r="127" spans="1:47" s="7" customFormat="1" ht="15.75" customHeight="1" x14ac:dyDescent="0.35">
      <c r="A127" s="12" t="s">
        <v>305</v>
      </c>
      <c r="B127" s="33">
        <v>46477</v>
      </c>
      <c r="C127" s="35">
        <f t="shared" si="1"/>
        <v>0</v>
      </c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6"/>
      <c r="AO127" s="36"/>
      <c r="AP127" s="36"/>
      <c r="AQ127" s="35"/>
      <c r="AR127" s="35"/>
      <c r="AS127" s="35"/>
      <c r="AT127" s="35"/>
      <c r="AU127" s="35"/>
    </row>
    <row r="128" spans="1:47" s="7" customFormat="1" ht="15.75" customHeight="1" x14ac:dyDescent="0.35">
      <c r="A128" s="12" t="s">
        <v>304</v>
      </c>
      <c r="B128" s="33">
        <v>65137.39</v>
      </c>
      <c r="C128" s="35">
        <f t="shared" si="1"/>
        <v>33715.14</v>
      </c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>
        <v>3</v>
      </c>
      <c r="AE128" s="35">
        <v>9776</v>
      </c>
      <c r="AF128" s="35"/>
      <c r="AG128" s="35"/>
      <c r="AH128" s="35">
        <v>8</v>
      </c>
      <c r="AI128" s="35">
        <v>3993</v>
      </c>
      <c r="AJ128" s="35">
        <v>30</v>
      </c>
      <c r="AK128" s="35">
        <v>5395.54</v>
      </c>
      <c r="AL128" s="35">
        <v>17</v>
      </c>
      <c r="AM128" s="35">
        <v>7032.61</v>
      </c>
      <c r="AN128" s="36">
        <v>8</v>
      </c>
      <c r="AO128" s="36">
        <v>7517.99</v>
      </c>
      <c r="AP128" s="36"/>
      <c r="AQ128" s="35"/>
      <c r="AR128" s="35"/>
      <c r="AS128" s="35"/>
      <c r="AT128" s="35"/>
      <c r="AU128" s="35"/>
    </row>
    <row r="129" spans="1:47" s="56" customFormat="1" ht="15.75" customHeight="1" x14ac:dyDescent="0.35">
      <c r="A129" s="13" t="s">
        <v>303</v>
      </c>
      <c r="B129" s="33">
        <v>27243.15</v>
      </c>
      <c r="C129" s="35">
        <f t="shared" si="1"/>
        <v>16881.88</v>
      </c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>
        <v>1</v>
      </c>
      <c r="S129" s="35">
        <v>368</v>
      </c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>
        <v>10</v>
      </c>
      <c r="AE129" s="35">
        <f>14607+1561.14</f>
        <v>16168.14</v>
      </c>
      <c r="AF129" s="35"/>
      <c r="AG129" s="35"/>
      <c r="AH129" s="35">
        <v>1</v>
      </c>
      <c r="AI129" s="35">
        <v>345.74</v>
      </c>
      <c r="AJ129" s="35"/>
      <c r="AK129" s="35"/>
      <c r="AL129" s="35"/>
      <c r="AM129" s="35"/>
      <c r="AN129" s="36"/>
      <c r="AO129" s="36"/>
      <c r="AP129" s="36"/>
      <c r="AQ129" s="35"/>
      <c r="AR129" s="35"/>
      <c r="AS129" s="35"/>
      <c r="AT129" s="35"/>
      <c r="AU129" s="35"/>
    </row>
    <row r="130" spans="1:47" s="7" customFormat="1" ht="15.75" customHeight="1" x14ac:dyDescent="0.35">
      <c r="A130" s="12" t="s">
        <v>302</v>
      </c>
      <c r="B130" s="33">
        <v>124223.26</v>
      </c>
      <c r="C130" s="35">
        <f t="shared" si="1"/>
        <v>40940.858999999997</v>
      </c>
      <c r="D130" s="35">
        <v>6</v>
      </c>
      <c r="E130" s="35">
        <v>6077</v>
      </c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>
        <v>1</v>
      </c>
      <c r="S130" s="35">
        <v>376.47899999999998</v>
      </c>
      <c r="T130" s="35">
        <v>2</v>
      </c>
      <c r="U130" s="35">
        <v>3615</v>
      </c>
      <c r="V130" s="35"/>
      <c r="W130" s="35"/>
      <c r="X130" s="35"/>
      <c r="Y130" s="35"/>
      <c r="Z130" s="35">
        <v>8</v>
      </c>
      <c r="AA130" s="35">
        <v>21548</v>
      </c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>
        <v>1</v>
      </c>
      <c r="AM130" s="35">
        <v>1438.38</v>
      </c>
      <c r="AN130" s="36"/>
      <c r="AO130" s="36"/>
      <c r="AP130" s="36"/>
      <c r="AQ130" s="35"/>
      <c r="AR130" s="35"/>
      <c r="AS130" s="35"/>
      <c r="AT130" s="35"/>
      <c r="AU130" s="35">
        <v>7886</v>
      </c>
    </row>
    <row r="131" spans="1:47" s="56" customFormat="1" ht="15.75" customHeight="1" x14ac:dyDescent="0.35">
      <c r="A131" s="13" t="s">
        <v>301</v>
      </c>
      <c r="B131" s="33">
        <v>141549.12</v>
      </c>
      <c r="C131" s="35">
        <f t="shared" si="1"/>
        <v>252010.67000000004</v>
      </c>
      <c r="D131" s="35"/>
      <c r="E131" s="35"/>
      <c r="F131" s="35"/>
      <c r="G131" s="35"/>
      <c r="H131" s="35"/>
      <c r="I131" s="35"/>
      <c r="J131" s="35">
        <v>6.25</v>
      </c>
      <c r="K131" s="35">
        <v>469.36</v>
      </c>
      <c r="L131" s="35">
        <v>395</v>
      </c>
      <c r="M131" s="35">
        <v>62016</v>
      </c>
      <c r="N131" s="35"/>
      <c r="O131" s="35"/>
      <c r="P131" s="35"/>
      <c r="Q131" s="35"/>
      <c r="R131" s="35">
        <v>4</v>
      </c>
      <c r="S131" s="35">
        <f>1458.6+376.48</f>
        <v>1835.08</v>
      </c>
      <c r="T131" s="35"/>
      <c r="U131" s="35"/>
      <c r="V131" s="35">
        <v>4.5</v>
      </c>
      <c r="W131" s="35">
        <v>5762.08</v>
      </c>
      <c r="X131" s="35"/>
      <c r="Y131" s="35"/>
      <c r="Z131" s="35"/>
      <c r="AA131" s="35"/>
      <c r="AB131" s="35"/>
      <c r="AC131" s="35"/>
      <c r="AD131" s="35">
        <v>7</v>
      </c>
      <c r="AE131" s="35">
        <v>7508.58</v>
      </c>
      <c r="AF131" s="35"/>
      <c r="AG131" s="35"/>
      <c r="AH131" s="35"/>
      <c r="AI131" s="35"/>
      <c r="AJ131" s="35">
        <f>24+7</f>
        <v>31</v>
      </c>
      <c r="AK131" s="35">
        <f>1223.83+4556.04+1623.8+1147.54+16450</f>
        <v>25001.21</v>
      </c>
      <c r="AL131" s="35">
        <v>30</v>
      </c>
      <c r="AM131" s="35">
        <f>22942.7+1738.62+550</f>
        <v>25231.32</v>
      </c>
      <c r="AN131" s="36">
        <v>7</v>
      </c>
      <c r="AO131" s="36">
        <f>7617.76+3862.4</f>
        <v>11480.16</v>
      </c>
      <c r="AP131" s="36"/>
      <c r="AQ131" s="35">
        <f>71148.94+13902.02+33418</f>
        <v>118468.96</v>
      </c>
      <c r="AR131" s="35"/>
      <c r="AS131" s="35"/>
      <c r="AT131" s="35"/>
      <c r="AU131" s="35"/>
    </row>
    <row r="132" spans="1:47" s="7" customFormat="1" ht="15.75" customHeight="1" x14ac:dyDescent="0.35">
      <c r="A132" s="12" t="s">
        <v>386</v>
      </c>
      <c r="B132" s="33">
        <v>157276.22</v>
      </c>
      <c r="C132" s="35">
        <f t="shared" si="1"/>
        <v>3855</v>
      </c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>
        <v>5</v>
      </c>
      <c r="Q132" s="35">
        <v>761</v>
      </c>
      <c r="R132" s="35">
        <v>2</v>
      </c>
      <c r="S132" s="35">
        <v>607</v>
      </c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>
        <v>5</v>
      </c>
      <c r="AE132" s="35">
        <v>2487</v>
      </c>
      <c r="AF132" s="35"/>
      <c r="AG132" s="35"/>
      <c r="AH132" s="35"/>
      <c r="AI132" s="35"/>
      <c r="AJ132" s="35"/>
      <c r="AK132" s="35"/>
      <c r="AL132" s="35"/>
      <c r="AM132" s="35"/>
      <c r="AN132" s="36"/>
      <c r="AO132" s="36"/>
      <c r="AP132" s="36"/>
      <c r="AQ132" s="35"/>
      <c r="AR132" s="35"/>
      <c r="AS132" s="35"/>
      <c r="AT132" s="35"/>
      <c r="AU132" s="35"/>
    </row>
    <row r="133" spans="1:47" s="7" customFormat="1" ht="15.75" customHeight="1" x14ac:dyDescent="0.35">
      <c r="A133" s="12" t="s">
        <v>387</v>
      </c>
      <c r="B133" s="33">
        <v>163821.32</v>
      </c>
      <c r="C133" s="35">
        <f t="shared" si="1"/>
        <v>120578.88</v>
      </c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>
        <v>2</v>
      </c>
      <c r="Q133" s="35">
        <v>2322</v>
      </c>
      <c r="R133" s="35">
        <v>1</v>
      </c>
      <c r="S133" s="35">
        <v>322</v>
      </c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>
        <v>3</v>
      </c>
      <c r="AE133" s="35">
        <v>61575</v>
      </c>
      <c r="AF133" s="35"/>
      <c r="AG133" s="35"/>
      <c r="AH133" s="35"/>
      <c r="AI133" s="35"/>
      <c r="AJ133" s="35"/>
      <c r="AK133" s="35"/>
      <c r="AL133" s="35">
        <v>9</v>
      </c>
      <c r="AM133" s="35">
        <f>3201.92+1408.47</f>
        <v>4610.3900000000003</v>
      </c>
      <c r="AN133" s="36">
        <v>2</v>
      </c>
      <c r="AO133" s="36">
        <v>2217.4899999999998</v>
      </c>
      <c r="AP133" s="36"/>
      <c r="AQ133" s="35">
        <v>49532</v>
      </c>
      <c r="AR133" s="35"/>
      <c r="AS133" s="35"/>
      <c r="AT133" s="35"/>
      <c r="AU133" s="35"/>
    </row>
    <row r="134" spans="1:47" s="7" customFormat="1" ht="15.75" customHeight="1" x14ac:dyDescent="0.35">
      <c r="A134" s="13" t="s">
        <v>388</v>
      </c>
      <c r="B134" s="33">
        <v>190562.88</v>
      </c>
      <c r="C134" s="35">
        <f t="shared" si="1"/>
        <v>112160.14</v>
      </c>
      <c r="D134" s="35"/>
      <c r="E134" s="35"/>
      <c r="F134" s="35"/>
      <c r="G134" s="35"/>
      <c r="H134" s="35"/>
      <c r="I134" s="35"/>
      <c r="J134" s="35">
        <f>26+75</f>
        <v>101</v>
      </c>
      <c r="K134" s="35">
        <f>1676.61+98128</f>
        <v>99804.61</v>
      </c>
      <c r="L134" s="35"/>
      <c r="M134" s="35"/>
      <c r="N134" s="35"/>
      <c r="O134" s="35"/>
      <c r="P134" s="35">
        <v>3</v>
      </c>
      <c r="Q134" s="35">
        <v>1411.08</v>
      </c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>
        <v>28</v>
      </c>
      <c r="AE134" s="35">
        <v>9546</v>
      </c>
      <c r="AF134" s="35"/>
      <c r="AG134" s="35"/>
      <c r="AH134" s="35">
        <v>3</v>
      </c>
      <c r="AI134" s="35">
        <v>1398.45</v>
      </c>
      <c r="AJ134" s="35"/>
      <c r="AK134" s="35"/>
      <c r="AL134" s="35"/>
      <c r="AM134" s="35"/>
      <c r="AN134" s="36"/>
      <c r="AO134" s="36"/>
      <c r="AP134" s="36"/>
      <c r="AQ134" s="35"/>
      <c r="AR134" s="35"/>
      <c r="AS134" s="35"/>
      <c r="AT134" s="35"/>
      <c r="AU134" s="35"/>
    </row>
    <row r="135" spans="1:47" s="56" customFormat="1" ht="15.75" customHeight="1" x14ac:dyDescent="0.35">
      <c r="A135" s="13" t="s">
        <v>389</v>
      </c>
      <c r="B135" s="33">
        <v>111768.24</v>
      </c>
      <c r="C135" s="35">
        <f t="shared" si="1"/>
        <v>32556.480000000003</v>
      </c>
      <c r="D135" s="35"/>
      <c r="E135" s="35"/>
      <c r="F135" s="35"/>
      <c r="G135" s="35"/>
      <c r="H135" s="35"/>
      <c r="I135" s="35"/>
      <c r="J135" s="35">
        <v>3</v>
      </c>
      <c r="K135" s="35">
        <v>2128.14</v>
      </c>
      <c r="L135" s="35"/>
      <c r="M135" s="35"/>
      <c r="N135" s="35"/>
      <c r="O135" s="35"/>
      <c r="P135" s="35"/>
      <c r="Q135" s="35"/>
      <c r="R135" s="35">
        <v>4</v>
      </c>
      <c r="S135" s="35">
        <f>383.03+766.07</f>
        <v>1149.0999999999999</v>
      </c>
      <c r="T135" s="35">
        <v>5</v>
      </c>
      <c r="U135" s="35">
        <v>5975</v>
      </c>
      <c r="V135" s="35"/>
      <c r="W135" s="35"/>
      <c r="X135" s="35"/>
      <c r="Y135" s="35"/>
      <c r="Z135" s="35"/>
      <c r="AA135" s="35"/>
      <c r="AB135" s="35"/>
      <c r="AC135" s="35"/>
      <c r="AD135" s="35">
        <v>18</v>
      </c>
      <c r="AE135" s="35">
        <v>2342.3000000000002</v>
      </c>
      <c r="AF135" s="35"/>
      <c r="AG135" s="35"/>
      <c r="AH135" s="35">
        <v>2</v>
      </c>
      <c r="AI135" s="35">
        <f>3296.94+2310</f>
        <v>5606.9400000000005</v>
      </c>
      <c r="AJ135" s="35">
        <v>80</v>
      </c>
      <c r="AK135" s="35">
        <v>5653</v>
      </c>
      <c r="AL135" s="35">
        <v>2</v>
      </c>
      <c r="AM135" s="35">
        <v>9702</v>
      </c>
      <c r="AN135" s="36"/>
      <c r="AO135" s="36"/>
      <c r="AP135" s="36"/>
      <c r="AQ135" s="35"/>
      <c r="AR135" s="35"/>
      <c r="AS135" s="35"/>
      <c r="AT135" s="35"/>
      <c r="AU135" s="35"/>
    </row>
    <row r="136" spans="1:47" s="56" customFormat="1" ht="15.75" customHeight="1" x14ac:dyDescent="0.35">
      <c r="A136" s="13" t="s">
        <v>390</v>
      </c>
      <c r="B136" s="33">
        <v>301656.59999999998</v>
      </c>
      <c r="C136" s="35">
        <f t="shared" si="1"/>
        <v>104690.45</v>
      </c>
      <c r="D136" s="35"/>
      <c r="E136" s="35"/>
      <c r="F136" s="35"/>
      <c r="G136" s="35"/>
      <c r="H136" s="35"/>
      <c r="I136" s="35"/>
      <c r="J136" s="35">
        <v>19</v>
      </c>
      <c r="K136" s="35">
        <v>1426.84</v>
      </c>
      <c r="L136" s="35">
        <v>244</v>
      </c>
      <c r="M136" s="35">
        <v>48417</v>
      </c>
      <c r="N136" s="35"/>
      <c r="O136" s="35"/>
      <c r="P136" s="35">
        <v>16</v>
      </c>
      <c r="Q136" s="35">
        <f>807.93+1456.56+5544</f>
        <v>7808.49</v>
      </c>
      <c r="R136" s="35">
        <v>6</v>
      </c>
      <c r="S136" s="35">
        <f>1404.9+383.03+376.48+376.48+752.95</f>
        <v>3293.84</v>
      </c>
      <c r="T136" s="35">
        <v>1</v>
      </c>
      <c r="U136" s="35">
        <v>2674.77</v>
      </c>
      <c r="V136" s="35"/>
      <c r="W136" s="35"/>
      <c r="X136" s="35"/>
      <c r="Y136" s="35"/>
      <c r="Z136" s="35"/>
      <c r="AA136" s="35"/>
      <c r="AB136" s="35"/>
      <c r="AC136" s="35"/>
      <c r="AD136" s="35">
        <v>32</v>
      </c>
      <c r="AE136" s="35">
        <v>41069.51</v>
      </c>
      <c r="AF136" s="35"/>
      <c r="AG136" s="35"/>
      <c r="AH136" s="35"/>
      <c r="AI136" s="35"/>
      <c r="AJ136" s="35"/>
      <c r="AK136" s="35"/>
      <c r="AL136" s="35"/>
      <c r="AM136" s="35"/>
      <c r="AN136" s="36"/>
      <c r="AO136" s="36"/>
      <c r="AP136" s="36"/>
      <c r="AQ136" s="35"/>
      <c r="AR136" s="35"/>
      <c r="AS136" s="35"/>
      <c r="AT136" s="35"/>
      <c r="AU136" s="35"/>
    </row>
    <row r="137" spans="1:47" s="7" customFormat="1" ht="15.75" customHeight="1" x14ac:dyDescent="0.35">
      <c r="A137" s="12" t="s">
        <v>285</v>
      </c>
      <c r="B137" s="33">
        <v>494588.88</v>
      </c>
      <c r="C137" s="35">
        <f t="shared" si="1"/>
        <v>266552.39400000003</v>
      </c>
      <c r="D137" s="35"/>
      <c r="E137" s="35"/>
      <c r="F137" s="35"/>
      <c r="G137" s="35"/>
      <c r="H137" s="35"/>
      <c r="I137" s="35"/>
      <c r="J137" s="35">
        <f>8+78+8+55</f>
        <v>149</v>
      </c>
      <c r="K137" s="35">
        <f>3772.2+34553.01+48997+876.976</f>
        <v>88199.185999999987</v>
      </c>
      <c r="L137" s="35"/>
      <c r="M137" s="35"/>
      <c r="N137" s="35"/>
      <c r="O137" s="35"/>
      <c r="P137" s="35">
        <v>25</v>
      </c>
      <c r="Q137" s="35">
        <f>1157.39+10196.8+2484.23</f>
        <v>13838.419999999998</v>
      </c>
      <c r="R137" s="35">
        <v>5</v>
      </c>
      <c r="S137" s="35">
        <f>752.95+376.479+608</f>
        <v>1737.4290000000001</v>
      </c>
      <c r="T137" s="35">
        <v>2</v>
      </c>
      <c r="U137" s="35">
        <v>376.47899999999998</v>
      </c>
      <c r="V137" s="35"/>
      <c r="W137" s="35"/>
      <c r="X137" s="35">
        <f>2+1.5</f>
        <v>3.5</v>
      </c>
      <c r="Y137" s="35">
        <f>2258.63+12708.67</f>
        <v>14967.3</v>
      </c>
      <c r="Z137" s="35"/>
      <c r="AA137" s="35"/>
      <c r="AB137" s="35"/>
      <c r="AC137" s="35"/>
      <c r="AD137" s="35">
        <v>56</v>
      </c>
      <c r="AE137" s="35">
        <f>83950.4+5919.35</f>
        <v>89869.75</v>
      </c>
      <c r="AF137" s="35"/>
      <c r="AG137" s="35"/>
      <c r="AH137" s="35">
        <v>7</v>
      </c>
      <c r="AI137" s="35">
        <v>2841.7</v>
      </c>
      <c r="AJ137" s="35">
        <f>120+25</f>
        <v>145</v>
      </c>
      <c r="AK137" s="35">
        <f>18903.5+3017+2843.21</f>
        <v>24763.71</v>
      </c>
      <c r="AL137" s="35">
        <v>18</v>
      </c>
      <c r="AM137" s="35">
        <f>9958.86+14359.3</f>
        <v>24318.16</v>
      </c>
      <c r="AN137" s="36">
        <v>5</v>
      </c>
      <c r="AO137" s="36">
        <v>5640.26</v>
      </c>
      <c r="AP137" s="36"/>
      <c r="AQ137" s="35"/>
      <c r="AR137" s="35"/>
      <c r="AS137" s="35"/>
      <c r="AT137" s="35"/>
      <c r="AU137" s="35"/>
    </row>
    <row r="138" spans="1:47" s="7" customFormat="1" ht="15.75" customHeight="1" x14ac:dyDescent="0.35">
      <c r="A138" s="13" t="s">
        <v>300</v>
      </c>
      <c r="B138" s="33">
        <v>205373.28</v>
      </c>
      <c r="C138" s="35">
        <f t="shared" si="1"/>
        <v>193870.09400000001</v>
      </c>
      <c r="D138" s="35"/>
      <c r="E138" s="35"/>
      <c r="F138" s="35"/>
      <c r="G138" s="35"/>
      <c r="H138" s="35"/>
      <c r="I138" s="35"/>
      <c r="J138" s="35">
        <v>25</v>
      </c>
      <c r="K138" s="35">
        <f>475.06+1250.67</f>
        <v>1725.73</v>
      </c>
      <c r="L138" s="35">
        <v>650</v>
      </c>
      <c r="M138" s="35">
        <v>150990</v>
      </c>
      <c r="N138" s="35"/>
      <c r="O138" s="35"/>
      <c r="P138" s="35"/>
      <c r="Q138" s="35"/>
      <c r="R138" s="35">
        <v>3</v>
      </c>
      <c r="S138" s="35">
        <f>367.479+367+304</f>
        <v>1038.479</v>
      </c>
      <c r="T138" s="35">
        <v>20</v>
      </c>
      <c r="U138" s="35">
        <v>22758.42</v>
      </c>
      <c r="V138" s="35"/>
      <c r="W138" s="35"/>
      <c r="X138" s="35"/>
      <c r="Y138" s="35"/>
      <c r="Z138" s="35"/>
      <c r="AA138" s="35"/>
      <c r="AB138" s="35"/>
      <c r="AC138" s="35"/>
      <c r="AD138" s="35">
        <v>14</v>
      </c>
      <c r="AE138" s="35">
        <f>1446.83+3097.5+8118.5</f>
        <v>12662.83</v>
      </c>
      <c r="AF138" s="35"/>
      <c r="AG138" s="35"/>
      <c r="AH138" s="35">
        <v>2</v>
      </c>
      <c r="AI138" s="35">
        <v>1060.9000000000001</v>
      </c>
      <c r="AJ138" s="35">
        <v>10</v>
      </c>
      <c r="AK138" s="35">
        <v>1249.24</v>
      </c>
      <c r="AL138" s="35">
        <v>1</v>
      </c>
      <c r="AM138" s="35">
        <v>114.295</v>
      </c>
      <c r="AN138" s="36">
        <v>2</v>
      </c>
      <c r="AO138" s="36">
        <f>1931.2+339</f>
        <v>2270.1999999999998</v>
      </c>
      <c r="AP138" s="36"/>
      <c r="AQ138" s="35"/>
      <c r="AR138" s="35"/>
      <c r="AS138" s="35"/>
      <c r="AT138" s="35"/>
      <c r="AU138" s="35"/>
    </row>
    <row r="139" spans="1:47" s="7" customFormat="1" ht="15.75" customHeight="1" x14ac:dyDescent="0.35">
      <c r="A139" s="13" t="s">
        <v>299</v>
      </c>
      <c r="B139" s="33">
        <v>189902.76</v>
      </c>
      <c r="C139" s="35">
        <f t="shared" si="1"/>
        <v>84924.703999999998</v>
      </c>
      <c r="D139" s="35"/>
      <c r="E139" s="35"/>
      <c r="F139" s="35"/>
      <c r="G139" s="35"/>
      <c r="H139" s="35"/>
      <c r="I139" s="35"/>
      <c r="J139" s="35">
        <v>5.25</v>
      </c>
      <c r="K139" s="35">
        <v>644</v>
      </c>
      <c r="L139" s="35"/>
      <c r="M139" s="35"/>
      <c r="N139" s="35"/>
      <c r="O139" s="35"/>
      <c r="P139" s="35">
        <v>10</v>
      </c>
      <c r="Q139" s="35">
        <v>5767</v>
      </c>
      <c r="R139" s="35">
        <v>1</v>
      </c>
      <c r="S139" s="35">
        <f>383.03+376.48</f>
        <v>759.51</v>
      </c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>
        <f>27+8</f>
        <v>35</v>
      </c>
      <c r="AE139" s="35">
        <f>34909.21+9008.014+29618</f>
        <v>73535.224000000002</v>
      </c>
      <c r="AF139" s="35"/>
      <c r="AG139" s="35"/>
      <c r="AH139" s="35">
        <v>3</v>
      </c>
      <c r="AI139" s="35">
        <f>1395.23+345.74</f>
        <v>1740.97</v>
      </c>
      <c r="AJ139" s="35"/>
      <c r="AK139" s="35"/>
      <c r="AL139" s="35">
        <v>1</v>
      </c>
      <c r="AM139" s="35">
        <v>2478</v>
      </c>
      <c r="AN139" s="36"/>
      <c r="AO139" s="36"/>
      <c r="AP139" s="36"/>
      <c r="AQ139" s="35"/>
      <c r="AR139" s="35"/>
      <c r="AS139" s="35"/>
      <c r="AT139" s="35"/>
      <c r="AU139" s="35"/>
    </row>
    <row r="140" spans="1:47" s="7" customFormat="1" ht="15.75" customHeight="1" x14ac:dyDescent="0.35">
      <c r="A140" s="13" t="s">
        <v>298</v>
      </c>
      <c r="B140" s="33">
        <v>323313.12</v>
      </c>
      <c r="C140" s="35">
        <f t="shared" si="1"/>
        <v>46421.811999999998</v>
      </c>
      <c r="D140" s="35"/>
      <c r="E140" s="35"/>
      <c r="F140" s="35"/>
      <c r="G140" s="35"/>
      <c r="H140" s="35"/>
      <c r="I140" s="35"/>
      <c r="J140" s="35">
        <v>12.5</v>
      </c>
      <c r="K140" s="35">
        <v>938.71</v>
      </c>
      <c r="L140" s="35"/>
      <c r="M140" s="35"/>
      <c r="N140" s="35"/>
      <c r="O140" s="35"/>
      <c r="P140" s="35">
        <v>27</v>
      </c>
      <c r="Q140" s="35">
        <f>3127.87+3640+1755+4934.35</f>
        <v>13457.22</v>
      </c>
      <c r="R140" s="35"/>
      <c r="S140" s="35"/>
      <c r="T140" s="35"/>
      <c r="U140" s="35"/>
      <c r="V140" s="35"/>
      <c r="W140" s="35"/>
      <c r="X140" s="35">
        <v>5</v>
      </c>
      <c r="Y140" s="35">
        <v>1505</v>
      </c>
      <c r="Z140" s="35"/>
      <c r="AA140" s="35"/>
      <c r="AB140" s="35"/>
      <c r="AC140" s="35"/>
      <c r="AD140" s="35">
        <v>4</v>
      </c>
      <c r="AE140" s="35">
        <v>14598.4</v>
      </c>
      <c r="AF140" s="35"/>
      <c r="AG140" s="35"/>
      <c r="AH140" s="35">
        <v>12</v>
      </c>
      <c r="AI140" s="35">
        <f>7520.4+4711.3</f>
        <v>12231.7</v>
      </c>
      <c r="AJ140" s="35">
        <v>46.5</v>
      </c>
      <c r="AK140" s="35">
        <f>171+2625</f>
        <v>2796</v>
      </c>
      <c r="AL140" s="35">
        <v>1</v>
      </c>
      <c r="AM140" s="35">
        <v>894.78200000000004</v>
      </c>
      <c r="AN140" s="36"/>
      <c r="AO140" s="36"/>
      <c r="AP140" s="36"/>
      <c r="AQ140" s="35"/>
      <c r="AR140" s="35"/>
      <c r="AS140" s="35"/>
      <c r="AT140" s="35"/>
      <c r="AU140" s="35"/>
    </row>
    <row r="141" spans="1:47" s="7" customFormat="1" ht="15.75" customHeight="1" x14ac:dyDescent="0.35">
      <c r="A141" s="13" t="s">
        <v>297</v>
      </c>
      <c r="B141" s="33">
        <v>176153.53</v>
      </c>
      <c r="C141" s="35">
        <f t="shared" ref="C141:C204" si="2">E141+G141+K141+M141+O141+Q141+S141+U141+Y141+AA141+AC141+AE141+AG141+AI141+AK141+AM141+AO141+AQ141+AS141+AU141+I141</f>
        <v>30628.16</v>
      </c>
      <c r="D141" s="35"/>
      <c r="E141" s="35"/>
      <c r="F141" s="35"/>
      <c r="G141" s="35"/>
      <c r="H141" s="35"/>
      <c r="I141" s="35"/>
      <c r="J141" s="35">
        <v>37</v>
      </c>
      <c r="K141" s="35">
        <f>2827.55+12879</f>
        <v>15706.55</v>
      </c>
      <c r="L141" s="35"/>
      <c r="M141" s="35"/>
      <c r="N141" s="35"/>
      <c r="O141" s="35"/>
      <c r="P141" s="35">
        <v>17</v>
      </c>
      <c r="Q141" s="35">
        <f>7919.61+1147</f>
        <v>9066.61</v>
      </c>
      <c r="R141" s="35">
        <v>1</v>
      </c>
      <c r="S141" s="35">
        <v>367</v>
      </c>
      <c r="T141" s="35">
        <v>3</v>
      </c>
      <c r="U141" s="35">
        <v>1795</v>
      </c>
      <c r="V141" s="35"/>
      <c r="W141" s="35"/>
      <c r="X141" s="35"/>
      <c r="Y141" s="35"/>
      <c r="Z141" s="35"/>
      <c r="AA141" s="35"/>
      <c r="AB141" s="35"/>
      <c r="AC141" s="35"/>
      <c r="AD141" s="35">
        <v>10</v>
      </c>
      <c r="AE141" s="35">
        <v>3693</v>
      </c>
      <c r="AF141" s="35"/>
      <c r="AG141" s="35"/>
      <c r="AH141" s="35"/>
      <c r="AI141" s="35"/>
      <c r="AJ141" s="35"/>
      <c r="AK141" s="35"/>
      <c r="AL141" s="35"/>
      <c r="AM141" s="35"/>
      <c r="AN141" s="36"/>
      <c r="AO141" s="36"/>
      <c r="AP141" s="36"/>
      <c r="AQ141" s="35"/>
      <c r="AR141" s="35"/>
      <c r="AS141" s="35"/>
      <c r="AT141" s="35"/>
      <c r="AU141" s="35"/>
    </row>
    <row r="142" spans="1:47" s="7" customFormat="1" ht="15.75" customHeight="1" x14ac:dyDescent="0.35">
      <c r="A142" s="13" t="s">
        <v>296</v>
      </c>
      <c r="B142" s="33">
        <v>481650</v>
      </c>
      <c r="C142" s="35">
        <f t="shared" si="2"/>
        <v>282480.45</v>
      </c>
      <c r="D142" s="35">
        <v>6</v>
      </c>
      <c r="E142" s="35">
        <v>6230.2</v>
      </c>
      <c r="F142" s="35"/>
      <c r="G142" s="35"/>
      <c r="H142" s="35"/>
      <c r="I142" s="35"/>
      <c r="J142" s="35">
        <f>19.5+19</f>
        <v>38.5</v>
      </c>
      <c r="K142" s="35">
        <f>1714.16+1205.84+696.2</f>
        <v>3616.2</v>
      </c>
      <c r="L142" s="35">
        <v>253</v>
      </c>
      <c r="M142" s="35">
        <v>168304</v>
      </c>
      <c r="N142" s="35"/>
      <c r="O142" s="35"/>
      <c r="P142" s="35">
        <v>6</v>
      </c>
      <c r="Q142" s="35">
        <f>10774.8+3640.3+572</f>
        <v>14987.099999999999</v>
      </c>
      <c r="R142" s="35">
        <v>2</v>
      </c>
      <c r="S142" s="35">
        <f>17910+376.48+366.98</f>
        <v>18653.46</v>
      </c>
      <c r="T142" s="35"/>
      <c r="U142" s="35"/>
      <c r="V142" s="35">
        <v>8</v>
      </c>
      <c r="W142" s="35">
        <v>10774.6</v>
      </c>
      <c r="X142" s="35">
        <f>25+33+8.6</f>
        <v>66.599999999999994</v>
      </c>
      <c r="Y142" s="35">
        <f>3189.88+17794.41+39175.45</f>
        <v>60159.74</v>
      </c>
      <c r="Z142" s="35"/>
      <c r="AA142" s="35"/>
      <c r="AB142" s="35"/>
      <c r="AC142" s="35"/>
      <c r="AD142" s="35">
        <v>16</v>
      </c>
      <c r="AE142" s="35">
        <v>4134.72</v>
      </c>
      <c r="AF142" s="35"/>
      <c r="AG142" s="35"/>
      <c r="AH142" s="35">
        <v>1</v>
      </c>
      <c r="AI142" s="35">
        <v>365.51</v>
      </c>
      <c r="AJ142" s="35"/>
      <c r="AK142" s="35"/>
      <c r="AL142" s="35">
        <v>4</v>
      </c>
      <c r="AM142" s="35">
        <v>1847.2</v>
      </c>
      <c r="AN142" s="36">
        <v>1</v>
      </c>
      <c r="AO142" s="36">
        <v>4182.32</v>
      </c>
      <c r="AP142" s="36"/>
      <c r="AQ142" s="35"/>
      <c r="AR142" s="35"/>
      <c r="AS142" s="35"/>
      <c r="AT142" s="35"/>
      <c r="AU142" s="35"/>
    </row>
    <row r="143" spans="1:47" s="7" customFormat="1" ht="15.75" customHeight="1" x14ac:dyDescent="0.35">
      <c r="A143" s="13" t="s">
        <v>295</v>
      </c>
      <c r="B143" s="33">
        <v>567488.64</v>
      </c>
      <c r="C143" s="35">
        <f t="shared" si="2"/>
        <v>427961.33000000007</v>
      </c>
      <c r="D143" s="35"/>
      <c r="E143" s="35"/>
      <c r="F143" s="35"/>
      <c r="G143" s="35"/>
      <c r="H143" s="35"/>
      <c r="I143" s="35"/>
      <c r="J143" s="35">
        <v>30</v>
      </c>
      <c r="K143" s="35">
        <v>2752.46</v>
      </c>
      <c r="L143" s="35">
        <v>549</v>
      </c>
      <c r="M143" s="35">
        <v>300780</v>
      </c>
      <c r="N143" s="35"/>
      <c r="O143" s="35"/>
      <c r="P143" s="35">
        <v>10</v>
      </c>
      <c r="Q143" s="35">
        <f>2739+1279.88</f>
        <v>4018.88</v>
      </c>
      <c r="R143" s="35">
        <v>1</v>
      </c>
      <c r="S143" s="35">
        <v>367.11</v>
      </c>
      <c r="T143" s="35"/>
      <c r="U143" s="35"/>
      <c r="V143" s="35"/>
      <c r="W143" s="35"/>
      <c r="X143" s="35">
        <v>50</v>
      </c>
      <c r="Y143" s="35">
        <v>39318.58</v>
      </c>
      <c r="Z143" s="35"/>
      <c r="AA143" s="35"/>
      <c r="AB143" s="35"/>
      <c r="AC143" s="35"/>
      <c r="AD143" s="35">
        <v>41</v>
      </c>
      <c r="AE143" s="35">
        <f>9479.94+4744.78+6213+19338.93</f>
        <v>39776.65</v>
      </c>
      <c r="AF143" s="35"/>
      <c r="AG143" s="35"/>
      <c r="AH143" s="35">
        <v>4</v>
      </c>
      <c r="AI143" s="35">
        <f>467.28+1953</f>
        <v>2420.2799999999997</v>
      </c>
      <c r="AJ143" s="35">
        <v>25</v>
      </c>
      <c r="AK143" s="35">
        <f>1873.86+1050</f>
        <v>2923.8599999999997</v>
      </c>
      <c r="AL143" s="35"/>
      <c r="AM143" s="35"/>
      <c r="AN143" s="36"/>
      <c r="AO143" s="36"/>
      <c r="AP143" s="36"/>
      <c r="AQ143" s="35">
        <v>33830.51</v>
      </c>
      <c r="AR143" s="35"/>
      <c r="AS143" s="35"/>
      <c r="AT143" s="35"/>
      <c r="AU143" s="35">
        <v>1773</v>
      </c>
    </row>
    <row r="144" spans="1:47" s="7" customFormat="1" ht="15.75" customHeight="1" x14ac:dyDescent="0.35">
      <c r="A144" s="13" t="s">
        <v>294</v>
      </c>
      <c r="B144" s="33">
        <v>315977.28000000003</v>
      </c>
      <c r="C144" s="35">
        <f t="shared" si="2"/>
        <v>378147.74</v>
      </c>
      <c r="D144" s="35">
        <v>120</v>
      </c>
      <c r="E144" s="35">
        <v>97110.39</v>
      </c>
      <c r="F144" s="35"/>
      <c r="G144" s="35"/>
      <c r="H144" s="35"/>
      <c r="I144" s="35"/>
      <c r="J144" s="35">
        <v>11</v>
      </c>
      <c r="K144" s="35">
        <f>475.06+6125</f>
        <v>6600.06</v>
      </c>
      <c r="L144" s="35">
        <v>530</v>
      </c>
      <c r="M144" s="35">
        <v>194240</v>
      </c>
      <c r="N144" s="35"/>
      <c r="O144" s="35"/>
      <c r="P144" s="35">
        <v>10</v>
      </c>
      <c r="Q144" s="35">
        <f>4270.12</f>
        <v>4270.12</v>
      </c>
      <c r="R144" s="35">
        <v>3</v>
      </c>
      <c r="S144" s="35">
        <f>444.25+1056</f>
        <v>1500.25</v>
      </c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>
        <v>47</v>
      </c>
      <c r="AE144" s="35">
        <f>2732.49+4060.75+17209.5</f>
        <v>24002.739999999998</v>
      </c>
      <c r="AF144" s="35"/>
      <c r="AG144" s="35"/>
      <c r="AH144" s="35">
        <v>13</v>
      </c>
      <c r="AI144" s="35">
        <f>2708.9+1768.96+2091</f>
        <v>6568.8600000000006</v>
      </c>
      <c r="AJ144" s="35"/>
      <c r="AK144" s="35"/>
      <c r="AL144" s="35"/>
      <c r="AM144" s="35"/>
      <c r="AN144" s="36">
        <v>1</v>
      </c>
      <c r="AO144" s="36">
        <f>1080.88+1056</f>
        <v>2136.88</v>
      </c>
      <c r="AP144" s="36"/>
      <c r="AQ144" s="35">
        <f>16569.77+25148.67</f>
        <v>41718.44</v>
      </c>
      <c r="AR144" s="35"/>
      <c r="AS144" s="35"/>
      <c r="AT144" s="35"/>
      <c r="AU144" s="35"/>
    </row>
    <row r="145" spans="1:47" s="56" customFormat="1" ht="15.75" customHeight="1" x14ac:dyDescent="0.35">
      <c r="A145" s="13" t="s">
        <v>293</v>
      </c>
      <c r="B145" s="33">
        <v>128174.64</v>
      </c>
      <c r="C145" s="35">
        <f t="shared" si="2"/>
        <v>105331.02239999999</v>
      </c>
      <c r="D145" s="35">
        <v>8</v>
      </c>
      <c r="E145" s="35">
        <f>3463.0994+1703.39</f>
        <v>5166.4894000000004</v>
      </c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>
        <v>9</v>
      </c>
      <c r="Q145" s="35">
        <f>385.8+807.863+1601.93+3339.173+382.816+552.41</f>
        <v>7069.9919999999993</v>
      </c>
      <c r="R145" s="35"/>
      <c r="S145" s="35"/>
      <c r="T145" s="35"/>
      <c r="U145" s="35"/>
      <c r="V145" s="35"/>
      <c r="W145" s="35"/>
      <c r="X145" s="35"/>
      <c r="Y145" s="35"/>
      <c r="Z145" s="35">
        <v>2.1</v>
      </c>
      <c r="AA145" s="35">
        <v>4793.7619999999997</v>
      </c>
      <c r="AB145" s="35"/>
      <c r="AC145" s="35"/>
      <c r="AD145" s="35">
        <v>90</v>
      </c>
      <c r="AE145" s="35">
        <f>3973.25+3964.39+39171.7+5402.74+6836.55+1939.92+4221.36</f>
        <v>65509.909999999996</v>
      </c>
      <c r="AF145" s="35"/>
      <c r="AG145" s="35"/>
      <c r="AH145" s="35">
        <f>7+18</f>
        <v>25</v>
      </c>
      <c r="AI145" s="35">
        <f>884.32+1229.8+2278.9+3117.8+3693.71</f>
        <v>11204.53</v>
      </c>
      <c r="AJ145" s="35">
        <v>21</v>
      </c>
      <c r="AK145" s="35">
        <f>7616.61+495.919</f>
        <v>8112.5289999999995</v>
      </c>
      <c r="AL145" s="35"/>
      <c r="AM145" s="35"/>
      <c r="AN145" s="36">
        <v>4</v>
      </c>
      <c r="AO145" s="36">
        <f>432.77+1080.88+879+1081.16</f>
        <v>3473.8100000000004</v>
      </c>
      <c r="AP145" s="36"/>
      <c r="AQ145" s="35"/>
      <c r="AR145" s="35"/>
      <c r="AS145" s="35"/>
      <c r="AT145" s="35"/>
      <c r="AU145" s="35"/>
    </row>
    <row r="146" spans="1:47" s="7" customFormat="1" ht="15.75" customHeight="1" x14ac:dyDescent="0.35">
      <c r="A146" s="13" t="s">
        <v>292</v>
      </c>
      <c r="B146" s="33">
        <v>116989.25</v>
      </c>
      <c r="C146" s="35">
        <f t="shared" si="2"/>
        <v>475</v>
      </c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>
        <v>1</v>
      </c>
      <c r="Q146" s="35">
        <v>367</v>
      </c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>
        <v>1.5</v>
      </c>
      <c r="AK146" s="35">
        <v>108</v>
      </c>
      <c r="AL146" s="35"/>
      <c r="AM146" s="35"/>
      <c r="AN146" s="36"/>
      <c r="AO146" s="36"/>
      <c r="AP146" s="36"/>
      <c r="AQ146" s="35"/>
      <c r="AR146" s="35"/>
      <c r="AS146" s="35"/>
      <c r="AT146" s="35"/>
      <c r="AU146" s="35"/>
    </row>
    <row r="147" spans="1:47" s="7" customFormat="1" ht="15.75" customHeight="1" x14ac:dyDescent="0.35">
      <c r="A147" s="13" t="s">
        <v>5</v>
      </c>
      <c r="B147" s="33">
        <v>82704.36</v>
      </c>
      <c r="C147" s="35">
        <f t="shared" si="2"/>
        <v>83332.836999999985</v>
      </c>
      <c r="D147" s="35">
        <f>2.5+6</f>
        <v>8.5</v>
      </c>
      <c r="E147" s="35">
        <f>860+5099</f>
        <v>5959</v>
      </c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>
        <v>3</v>
      </c>
      <c r="Q147" s="35">
        <f>490.9+1371.16</f>
        <v>1862.06</v>
      </c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>
        <v>35</v>
      </c>
      <c r="AE147" s="35">
        <f>36389.21+1901.216+646.64</f>
        <v>38937.065999999999</v>
      </c>
      <c r="AF147" s="35">
        <v>2</v>
      </c>
      <c r="AG147" s="35">
        <v>5365.02</v>
      </c>
      <c r="AH147" s="35">
        <v>12</v>
      </c>
      <c r="AI147" s="35">
        <f>819.85+1064.8+526.422+3693.71</f>
        <v>6104.7820000000002</v>
      </c>
      <c r="AJ147" s="35">
        <v>68</v>
      </c>
      <c r="AK147" s="35">
        <f>2079.09+495.919+3471.56</f>
        <v>6046.5689999999995</v>
      </c>
      <c r="AL147" s="35">
        <v>28</v>
      </c>
      <c r="AM147" s="35">
        <f>7309.04+7551.34+1081.16+1080.88</f>
        <v>17022.420000000002</v>
      </c>
      <c r="AN147" s="36">
        <v>3</v>
      </c>
      <c r="AO147" s="36">
        <f>1541.5+494.42</f>
        <v>2035.92</v>
      </c>
      <c r="AP147" s="36"/>
      <c r="AQ147" s="35"/>
      <c r="AR147" s="35"/>
      <c r="AS147" s="35"/>
      <c r="AT147" s="35"/>
      <c r="AU147" s="35"/>
    </row>
    <row r="148" spans="1:47" s="7" customFormat="1" ht="15.75" customHeight="1" x14ac:dyDescent="0.35">
      <c r="A148" s="13" t="s">
        <v>6</v>
      </c>
      <c r="B148" s="33">
        <v>257903.88</v>
      </c>
      <c r="C148" s="35">
        <f t="shared" si="2"/>
        <v>172658.95899999997</v>
      </c>
      <c r="D148" s="35">
        <v>5</v>
      </c>
      <c r="E148" s="35">
        <v>1720</v>
      </c>
      <c r="F148" s="35"/>
      <c r="G148" s="35"/>
      <c r="H148" s="35"/>
      <c r="I148" s="35"/>
      <c r="J148" s="35">
        <v>20</v>
      </c>
      <c r="K148" s="35">
        <v>6300.89</v>
      </c>
      <c r="L148" s="35"/>
      <c r="M148" s="35"/>
      <c r="N148" s="35"/>
      <c r="O148" s="35"/>
      <c r="P148" s="35">
        <v>5.6</v>
      </c>
      <c r="Q148" s="35">
        <v>1988</v>
      </c>
      <c r="R148" s="35"/>
      <c r="S148" s="35"/>
      <c r="T148" s="35">
        <v>7</v>
      </c>
      <c r="U148" s="35">
        <v>13616.8</v>
      </c>
      <c r="V148" s="35"/>
      <c r="W148" s="35"/>
      <c r="X148" s="35"/>
      <c r="Y148" s="35"/>
      <c r="Z148" s="35"/>
      <c r="AA148" s="35"/>
      <c r="AB148" s="35"/>
      <c r="AC148" s="35"/>
      <c r="AD148" s="35">
        <v>51</v>
      </c>
      <c r="AE148" s="35">
        <f>128740.9+2629.41+7085</f>
        <v>138455.31</v>
      </c>
      <c r="AF148" s="35"/>
      <c r="AG148" s="35"/>
      <c r="AH148" s="35">
        <v>12</v>
      </c>
      <c r="AI148" s="35">
        <f>2228.1+811.91+4447.1</f>
        <v>7487.1100000000006</v>
      </c>
      <c r="AJ148" s="35">
        <v>6</v>
      </c>
      <c r="AK148" s="35">
        <v>495.91899999999998</v>
      </c>
      <c r="AL148" s="35"/>
      <c r="AM148" s="35"/>
      <c r="AN148" s="36">
        <v>4</v>
      </c>
      <c r="AO148" s="36">
        <f>432.77+1081.16+1081</f>
        <v>2594.9300000000003</v>
      </c>
      <c r="AP148" s="36"/>
      <c r="AQ148" s="35"/>
      <c r="AR148" s="35"/>
      <c r="AS148" s="35"/>
      <c r="AT148" s="35"/>
      <c r="AU148" s="35"/>
    </row>
    <row r="149" spans="1:47" s="7" customFormat="1" ht="15.75" customHeight="1" x14ac:dyDescent="0.35">
      <c r="A149" s="13" t="s">
        <v>7</v>
      </c>
      <c r="B149" s="33">
        <v>182689.44</v>
      </c>
      <c r="C149" s="35">
        <f t="shared" si="2"/>
        <v>54359.918999999994</v>
      </c>
      <c r="D149" s="35">
        <f>6+8</f>
        <v>14</v>
      </c>
      <c r="E149" s="35">
        <f>3463.1+175.19</f>
        <v>3638.29</v>
      </c>
      <c r="F149" s="35"/>
      <c r="G149" s="35"/>
      <c r="H149" s="35"/>
      <c r="I149" s="35"/>
      <c r="J149" s="35">
        <v>3</v>
      </c>
      <c r="K149" s="35">
        <v>475.06</v>
      </c>
      <c r="L149" s="35"/>
      <c r="M149" s="35"/>
      <c r="N149" s="35"/>
      <c r="O149" s="35"/>
      <c r="P149" s="35">
        <v>1</v>
      </c>
      <c r="Q149" s="35">
        <v>385.8</v>
      </c>
      <c r="R149" s="35">
        <v>3</v>
      </c>
      <c r="S149" s="35">
        <f>383.03+376.48+933.651</f>
        <v>1693.1610000000001</v>
      </c>
      <c r="T149" s="35">
        <v>6</v>
      </c>
      <c r="U149" s="35">
        <v>7118.89</v>
      </c>
      <c r="V149" s="35"/>
      <c r="W149" s="35"/>
      <c r="X149" s="35">
        <v>3</v>
      </c>
      <c r="Y149" s="35">
        <f>938.77+508</f>
        <v>1446.77</v>
      </c>
      <c r="Z149" s="35"/>
      <c r="AA149" s="35"/>
      <c r="AB149" s="35"/>
      <c r="AC149" s="35"/>
      <c r="AD149" s="35">
        <v>2</v>
      </c>
      <c r="AE149" s="35">
        <v>1320.47</v>
      </c>
      <c r="AF149" s="35">
        <v>2</v>
      </c>
      <c r="AG149" s="35">
        <v>18041</v>
      </c>
      <c r="AH149" s="35">
        <v>11</v>
      </c>
      <c r="AI149" s="35">
        <v>3693.71</v>
      </c>
      <c r="AJ149" s="35">
        <v>12</v>
      </c>
      <c r="AK149" s="35">
        <f>496.107+495.919</f>
        <v>992.02600000000007</v>
      </c>
      <c r="AL149" s="35">
        <v>3</v>
      </c>
      <c r="AM149" s="35">
        <v>358.73200000000003</v>
      </c>
      <c r="AN149" s="36">
        <v>4</v>
      </c>
      <c r="AO149" s="36">
        <f>432.77+1081.16+1080.88</f>
        <v>2594.8100000000004</v>
      </c>
      <c r="AP149" s="36"/>
      <c r="AQ149" s="35"/>
      <c r="AR149" s="35"/>
      <c r="AS149" s="35"/>
      <c r="AT149" s="35"/>
      <c r="AU149" s="35">
        <v>12601.2</v>
      </c>
    </row>
    <row r="150" spans="1:47" s="7" customFormat="1" ht="15.75" customHeight="1" x14ac:dyDescent="0.35">
      <c r="A150" s="12" t="s">
        <v>8</v>
      </c>
      <c r="B150" s="33">
        <v>64989.599999999999</v>
      </c>
      <c r="C150" s="35">
        <f t="shared" si="2"/>
        <v>38596.788400000005</v>
      </c>
      <c r="D150" s="35">
        <v>6</v>
      </c>
      <c r="E150" s="35">
        <v>569.91639999999995</v>
      </c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>
        <v>19</v>
      </c>
      <c r="Q150" s="35">
        <f>1829.99+1830+1820.7+989.713</f>
        <v>6470.4029999999993</v>
      </c>
      <c r="R150" s="35">
        <v>1</v>
      </c>
      <c r="S150" s="35">
        <v>377.47899999999998</v>
      </c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>
        <v>13</v>
      </c>
      <c r="AE150" s="35">
        <f>6375.15+3521.12</f>
        <v>9896.27</v>
      </c>
      <c r="AF150" s="35"/>
      <c r="AG150" s="35"/>
      <c r="AH150" s="35">
        <v>5</v>
      </c>
      <c r="AI150" s="35">
        <v>3403.7</v>
      </c>
      <c r="AJ150" s="35"/>
      <c r="AK150" s="35"/>
      <c r="AL150" s="35">
        <v>12</v>
      </c>
      <c r="AM150" s="35">
        <v>7546.31</v>
      </c>
      <c r="AN150" s="36">
        <v>6</v>
      </c>
      <c r="AO150" s="36">
        <f>432.77+9899.94</f>
        <v>10332.710000000001</v>
      </c>
      <c r="AP150" s="36"/>
      <c r="AQ150" s="35"/>
      <c r="AR150" s="35"/>
      <c r="AS150" s="35"/>
      <c r="AT150" s="35"/>
      <c r="AU150" s="35"/>
    </row>
    <row r="151" spans="1:47" s="7" customFormat="1" ht="15.75" customHeight="1" x14ac:dyDescent="0.35">
      <c r="A151" s="12" t="s">
        <v>9</v>
      </c>
      <c r="B151" s="33">
        <v>205304.4</v>
      </c>
      <c r="C151" s="35">
        <f t="shared" si="2"/>
        <v>47283.47</v>
      </c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>
        <v>15</v>
      </c>
      <c r="Q151" s="35">
        <v>7424.56</v>
      </c>
      <c r="R151" s="35">
        <v>5</v>
      </c>
      <c r="S151" s="35">
        <f>376.48+10497.41</f>
        <v>10873.89</v>
      </c>
      <c r="T151" s="35"/>
      <c r="U151" s="35"/>
      <c r="V151" s="35"/>
      <c r="W151" s="35"/>
      <c r="X151" s="35">
        <v>4</v>
      </c>
      <c r="Y151" s="35">
        <v>13997.73</v>
      </c>
      <c r="Z151" s="35"/>
      <c r="AA151" s="35"/>
      <c r="AB151" s="35"/>
      <c r="AC151" s="35"/>
      <c r="AD151" s="35">
        <v>2</v>
      </c>
      <c r="AE151" s="35">
        <v>769.96</v>
      </c>
      <c r="AF151" s="35"/>
      <c r="AG151" s="35"/>
      <c r="AH151" s="35"/>
      <c r="AI151" s="35"/>
      <c r="AJ151" s="35">
        <v>46</v>
      </c>
      <c r="AK151" s="35">
        <v>8970.68</v>
      </c>
      <c r="AL151" s="35"/>
      <c r="AM151" s="35"/>
      <c r="AN151" s="36">
        <v>4</v>
      </c>
      <c r="AO151" s="36">
        <f>432.77+1080.88+1960</f>
        <v>3473.65</v>
      </c>
      <c r="AP151" s="36"/>
      <c r="AQ151" s="35"/>
      <c r="AR151" s="35"/>
      <c r="AS151" s="35"/>
      <c r="AT151" s="35"/>
      <c r="AU151" s="35">
        <v>1773</v>
      </c>
    </row>
    <row r="152" spans="1:47" s="7" customFormat="1" ht="15.75" customHeight="1" x14ac:dyDescent="0.35">
      <c r="A152" s="13" t="s">
        <v>10</v>
      </c>
      <c r="B152" s="33">
        <v>668737.31999999995</v>
      </c>
      <c r="C152" s="35">
        <f t="shared" si="2"/>
        <v>105478.117</v>
      </c>
      <c r="D152" s="35"/>
      <c r="E152" s="35"/>
      <c r="F152" s="35"/>
      <c r="G152" s="35"/>
      <c r="H152" s="35"/>
      <c r="I152" s="35"/>
      <c r="J152" s="35">
        <v>101</v>
      </c>
      <c r="K152" s="35">
        <f>1418.76+2029.117+57163.95+1763</f>
        <v>62374.826999999997</v>
      </c>
      <c r="L152" s="35"/>
      <c r="M152" s="35"/>
      <c r="N152" s="35"/>
      <c r="O152" s="35"/>
      <c r="P152" s="35">
        <v>12</v>
      </c>
      <c r="Q152" s="35">
        <f>1273+3393.64</f>
        <v>4666.6399999999994</v>
      </c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>
        <v>36</v>
      </c>
      <c r="AE152" s="35">
        <f>4134.68+6468.69+11941</f>
        <v>22544.37</v>
      </c>
      <c r="AF152" s="35"/>
      <c r="AG152" s="35"/>
      <c r="AH152" s="35">
        <v>11</v>
      </c>
      <c r="AI152" s="35">
        <f>1060.9+8342.5+4716.52+691.48</f>
        <v>14811.4</v>
      </c>
      <c r="AJ152" s="35"/>
      <c r="AK152" s="35"/>
      <c r="AL152" s="35"/>
      <c r="AM152" s="35"/>
      <c r="AN152" s="36">
        <v>1</v>
      </c>
      <c r="AO152" s="36">
        <v>1080.8800000000001</v>
      </c>
      <c r="AP152" s="36"/>
      <c r="AQ152" s="35"/>
      <c r="AR152" s="35"/>
      <c r="AS152" s="35"/>
      <c r="AT152" s="35"/>
      <c r="AU152" s="35"/>
    </row>
    <row r="153" spans="1:47" s="7" customFormat="1" ht="15.75" customHeight="1" x14ac:dyDescent="0.35">
      <c r="A153" s="12" t="s">
        <v>11</v>
      </c>
      <c r="B153" s="33">
        <v>376214.16</v>
      </c>
      <c r="C153" s="35">
        <f t="shared" si="2"/>
        <v>3557669.7289999998</v>
      </c>
      <c r="D153" s="35"/>
      <c r="E153" s="35"/>
      <c r="F153" s="35"/>
      <c r="G153" s="35"/>
      <c r="H153" s="35">
        <v>93</v>
      </c>
      <c r="I153" s="35">
        <v>3444700</v>
      </c>
      <c r="J153" s="35">
        <v>11</v>
      </c>
      <c r="K153" s="35">
        <v>1075.83</v>
      </c>
      <c r="L153" s="35">
        <v>489</v>
      </c>
      <c r="M153" s="35">
        <v>57912</v>
      </c>
      <c r="N153" s="35"/>
      <c r="O153" s="35"/>
      <c r="P153" s="35">
        <v>4</v>
      </c>
      <c r="Q153" s="35">
        <v>566</v>
      </c>
      <c r="R153" s="35">
        <v>5</v>
      </c>
      <c r="S153" s="35">
        <f>376.48+33592</f>
        <v>33968.480000000003</v>
      </c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>
        <v>36</v>
      </c>
      <c r="AE153" s="35">
        <f>3418.38+4198.61+2804.86+4537</f>
        <v>14958.85</v>
      </c>
      <c r="AF153" s="35"/>
      <c r="AG153" s="35"/>
      <c r="AH153" s="35">
        <v>3</v>
      </c>
      <c r="AI153" s="35">
        <f>409.93+405.96</f>
        <v>815.89</v>
      </c>
      <c r="AJ153" s="35"/>
      <c r="AK153" s="35"/>
      <c r="AL153" s="35">
        <v>5</v>
      </c>
      <c r="AM153" s="35">
        <f>789.939+994.74</f>
        <v>1784.6790000000001</v>
      </c>
      <c r="AN153" s="36">
        <v>1</v>
      </c>
      <c r="AO153" s="36">
        <v>1888</v>
      </c>
      <c r="AP153" s="36"/>
      <c r="AQ153" s="35"/>
      <c r="AR153" s="35"/>
      <c r="AS153" s="35"/>
      <c r="AT153" s="35"/>
      <c r="AU153" s="35"/>
    </row>
    <row r="154" spans="1:47" s="7" customFormat="1" ht="15.75" customHeight="1" x14ac:dyDescent="0.35">
      <c r="A154" s="12" t="s">
        <v>12</v>
      </c>
      <c r="B154" s="33">
        <v>415047.72</v>
      </c>
      <c r="C154" s="35">
        <f t="shared" si="2"/>
        <v>80398.289999999994</v>
      </c>
      <c r="D154" s="35">
        <v>35</v>
      </c>
      <c r="E154" s="35">
        <v>48283.38</v>
      </c>
      <c r="F154" s="35"/>
      <c r="G154" s="35"/>
      <c r="H154" s="35"/>
      <c r="I154" s="35"/>
      <c r="J154" s="35">
        <v>7</v>
      </c>
      <c r="K154" s="35">
        <v>775.45</v>
      </c>
      <c r="L154" s="35"/>
      <c r="M154" s="35"/>
      <c r="N154" s="35"/>
      <c r="O154" s="35"/>
      <c r="P154" s="35">
        <v>9</v>
      </c>
      <c r="Q154" s="35">
        <v>3675.37</v>
      </c>
      <c r="R154" s="35"/>
      <c r="S154" s="35"/>
      <c r="T154" s="35">
        <v>8</v>
      </c>
      <c r="U154" s="35">
        <v>3112</v>
      </c>
      <c r="V154" s="35"/>
      <c r="W154" s="35"/>
      <c r="X154" s="35">
        <v>8</v>
      </c>
      <c r="Y154" s="35">
        <v>2466</v>
      </c>
      <c r="Z154" s="35"/>
      <c r="AA154" s="35"/>
      <c r="AB154" s="35"/>
      <c r="AC154" s="35"/>
      <c r="AD154" s="35">
        <v>16</v>
      </c>
      <c r="AE154" s="35">
        <v>8580</v>
      </c>
      <c r="AF154" s="35"/>
      <c r="AG154" s="35"/>
      <c r="AH154" s="35"/>
      <c r="AI154" s="35"/>
      <c r="AJ154" s="35">
        <v>60</v>
      </c>
      <c r="AK154" s="35">
        <v>11057</v>
      </c>
      <c r="AL154" s="35">
        <v>2</v>
      </c>
      <c r="AM154" s="35">
        <v>687.9</v>
      </c>
      <c r="AN154" s="36">
        <v>4</v>
      </c>
      <c r="AO154" s="36">
        <v>1761.19</v>
      </c>
      <c r="AP154" s="36"/>
      <c r="AQ154" s="35"/>
      <c r="AR154" s="35"/>
      <c r="AS154" s="35"/>
      <c r="AT154" s="35"/>
      <c r="AU154" s="35"/>
    </row>
    <row r="155" spans="1:47" s="56" customFormat="1" ht="15.75" customHeight="1" x14ac:dyDescent="0.35">
      <c r="A155" s="12" t="s">
        <v>13</v>
      </c>
      <c r="B155" s="33">
        <v>289711.08</v>
      </c>
      <c r="C155" s="35">
        <f t="shared" si="2"/>
        <v>104234.22899999999</v>
      </c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>
        <v>14</v>
      </c>
      <c r="Q155" s="35">
        <f>771.6+2296.88+1255.52+2509.86</f>
        <v>6833.8600000000006</v>
      </c>
      <c r="R155" s="35">
        <v>2</v>
      </c>
      <c r="S155" s="35">
        <v>752.95</v>
      </c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>
        <v>122.5</v>
      </c>
      <c r="AE155" s="35">
        <f>1370.03+3079.859+10970+6296.23+6822.725+660.635+5843.36+8671.98+12922.17</f>
        <v>56636.988999999987</v>
      </c>
      <c r="AF155" s="35"/>
      <c r="AG155" s="35"/>
      <c r="AH155" s="35">
        <v>20</v>
      </c>
      <c r="AI155" s="35">
        <f>409.93+3664+1534.9+1623.8+2030.78+11909.29</f>
        <v>21172.7</v>
      </c>
      <c r="AJ155" s="35">
        <v>20</v>
      </c>
      <c r="AK155" s="35">
        <v>4602.13</v>
      </c>
      <c r="AL155" s="35">
        <v>3</v>
      </c>
      <c r="AM155" s="35">
        <v>13355</v>
      </c>
      <c r="AN155" s="36">
        <v>2</v>
      </c>
      <c r="AO155" s="36">
        <v>880.6</v>
      </c>
      <c r="AP155" s="36"/>
      <c r="AQ155" s="35"/>
      <c r="AR155" s="35"/>
      <c r="AS155" s="35"/>
      <c r="AT155" s="35"/>
      <c r="AU155" s="35"/>
    </row>
    <row r="156" spans="1:47" s="7" customFormat="1" ht="15.75" customHeight="1" x14ac:dyDescent="0.35">
      <c r="A156" s="12" t="s">
        <v>14</v>
      </c>
      <c r="B156" s="33">
        <v>394407.16</v>
      </c>
      <c r="C156" s="35">
        <f t="shared" si="2"/>
        <v>218467.65</v>
      </c>
      <c r="D156" s="35"/>
      <c r="E156" s="35"/>
      <c r="F156" s="35"/>
      <c r="G156" s="35"/>
      <c r="H156" s="35"/>
      <c r="I156" s="35"/>
      <c r="J156" s="35">
        <f>12.5+5+120</f>
        <v>137.5</v>
      </c>
      <c r="K156" s="35">
        <f>938.71+3140.85+75380</f>
        <v>79459.56</v>
      </c>
      <c r="L156" s="35"/>
      <c r="M156" s="35"/>
      <c r="N156" s="35"/>
      <c r="O156" s="35"/>
      <c r="P156" s="35">
        <f>18+4</f>
        <v>22</v>
      </c>
      <c r="Q156" s="35">
        <f>1584.93+2326.64+2333+9756</f>
        <v>16000.57</v>
      </c>
      <c r="R156" s="35">
        <v>2</v>
      </c>
      <c r="S156" s="35">
        <f>2937.3+1458.6</f>
        <v>4395.8999999999996</v>
      </c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>
        <v>13</v>
      </c>
      <c r="AE156" s="35">
        <f>5463.25+3281</f>
        <v>8744.25</v>
      </c>
      <c r="AF156" s="35"/>
      <c r="AG156" s="35"/>
      <c r="AH156" s="35">
        <v>18</v>
      </c>
      <c r="AI156" s="35">
        <v>4932.3</v>
      </c>
      <c r="AJ156" s="35">
        <f>25+12</f>
        <v>37</v>
      </c>
      <c r="AK156" s="35">
        <f>5183.06+5720.51+3221.4</f>
        <v>14124.97</v>
      </c>
      <c r="AL156" s="35">
        <v>6</v>
      </c>
      <c r="AM156" s="35">
        <v>7175.98</v>
      </c>
      <c r="AN156" s="36">
        <v>5</v>
      </c>
      <c r="AO156" s="36">
        <f>880.6+865.52+1888</f>
        <v>3634.12</v>
      </c>
      <c r="AP156" s="36"/>
      <c r="AQ156" s="35">
        <v>80000</v>
      </c>
      <c r="AR156" s="35"/>
      <c r="AS156" s="35"/>
      <c r="AT156" s="35"/>
      <c r="AU156" s="35"/>
    </row>
    <row r="157" spans="1:47" s="7" customFormat="1" ht="15.75" customHeight="1" x14ac:dyDescent="0.35">
      <c r="A157" s="21" t="s">
        <v>15</v>
      </c>
      <c r="B157" s="34">
        <v>382511.49</v>
      </c>
      <c r="C157" s="35">
        <f t="shared" si="2"/>
        <v>86950.592000000004</v>
      </c>
      <c r="D157" s="35"/>
      <c r="E157" s="38"/>
      <c r="F157" s="38"/>
      <c r="G157" s="38"/>
      <c r="H157" s="38"/>
      <c r="I157" s="38"/>
      <c r="J157" s="38">
        <v>6</v>
      </c>
      <c r="K157" s="38">
        <v>450.58</v>
      </c>
      <c r="L157" s="38"/>
      <c r="M157" s="38"/>
      <c r="N157" s="38"/>
      <c r="O157" s="38"/>
      <c r="P157" s="38">
        <v>3</v>
      </c>
      <c r="Q157" s="38">
        <f>1921+1767.64</f>
        <v>3688.6400000000003</v>
      </c>
      <c r="R157" s="38">
        <v>3</v>
      </c>
      <c r="S157" s="38">
        <f>12145+383.03+301</f>
        <v>12829.03</v>
      </c>
      <c r="T157" s="38"/>
      <c r="U157" s="38"/>
      <c r="V157" s="38">
        <v>10</v>
      </c>
      <c r="W157" s="38">
        <f>5121.85+1920.7</f>
        <v>7042.55</v>
      </c>
      <c r="X157" s="38"/>
      <c r="Y157" s="38"/>
      <c r="Z157" s="38"/>
      <c r="AA157" s="38"/>
      <c r="AB157" s="38"/>
      <c r="AC157" s="38"/>
      <c r="AD157" s="38">
        <f>16+8+30</f>
        <v>54</v>
      </c>
      <c r="AE157" s="38">
        <f>8541.501+3013.97+7406.86+15404.7+5122+3763.02+2408.38</f>
        <v>45660.430999999997</v>
      </c>
      <c r="AF157" s="38"/>
      <c r="AG157" s="38"/>
      <c r="AH157" s="38">
        <v>7</v>
      </c>
      <c r="AI157" s="38">
        <f>7611+1354.5+10170</f>
        <v>19135.5</v>
      </c>
      <c r="AJ157" s="38"/>
      <c r="AK157" s="38"/>
      <c r="AL157" s="38">
        <v>4</v>
      </c>
      <c r="AM157" s="38">
        <f>238.891+4082</f>
        <v>4320.8909999999996</v>
      </c>
      <c r="AN157" s="39">
        <v>2</v>
      </c>
      <c r="AO157" s="39">
        <v>865.52</v>
      </c>
      <c r="AP157" s="39"/>
      <c r="AQ157" s="38"/>
      <c r="AR157" s="38"/>
      <c r="AS157" s="38"/>
      <c r="AT157" s="38"/>
      <c r="AU157" s="38"/>
    </row>
    <row r="158" spans="1:47" s="7" customFormat="1" ht="15.75" customHeight="1" x14ac:dyDescent="0.35">
      <c r="A158" s="12" t="s">
        <v>16</v>
      </c>
      <c r="B158" s="33">
        <v>166868.85</v>
      </c>
      <c r="C158" s="35">
        <f t="shared" si="2"/>
        <v>204119.451</v>
      </c>
      <c r="D158" s="35">
        <v>6</v>
      </c>
      <c r="E158" s="35">
        <v>6689</v>
      </c>
      <c r="F158" s="35"/>
      <c r="G158" s="35"/>
      <c r="H158" s="35"/>
      <c r="I158" s="35"/>
      <c r="J158" s="35">
        <v>65</v>
      </c>
      <c r="K158" s="35">
        <v>40831</v>
      </c>
      <c r="L158" s="35">
        <v>360</v>
      </c>
      <c r="M158" s="35">
        <v>125786</v>
      </c>
      <c r="N158" s="35"/>
      <c r="O158" s="35"/>
      <c r="P158" s="35"/>
      <c r="Q158" s="35"/>
      <c r="R158" s="35">
        <v>4</v>
      </c>
      <c r="S158" s="35">
        <v>376.48</v>
      </c>
      <c r="T158" s="35"/>
      <c r="U158" s="35"/>
      <c r="V158" s="35"/>
      <c r="W158" s="35"/>
      <c r="X158" s="35">
        <v>20</v>
      </c>
      <c r="Y158" s="35">
        <v>11914.38</v>
      </c>
      <c r="Z158" s="35"/>
      <c r="AA158" s="35"/>
      <c r="AB158" s="35"/>
      <c r="AC158" s="35"/>
      <c r="AD158" s="35">
        <v>1</v>
      </c>
      <c r="AE158" s="35">
        <f>3605.97+747+8756.957+2187</f>
        <v>15296.927</v>
      </c>
      <c r="AF158" s="35"/>
      <c r="AG158" s="35"/>
      <c r="AH158" s="35">
        <v>2</v>
      </c>
      <c r="AI158" s="35">
        <f>411.03+280.63+812.454</f>
        <v>1504.114</v>
      </c>
      <c r="AJ158" s="35">
        <v>21</v>
      </c>
      <c r="AK158" s="35">
        <v>435</v>
      </c>
      <c r="AL158" s="35">
        <v>1</v>
      </c>
      <c r="AM158" s="35">
        <v>421.03</v>
      </c>
      <c r="AN158" s="36">
        <v>2</v>
      </c>
      <c r="AO158" s="36">
        <v>865.52</v>
      </c>
      <c r="AP158" s="36"/>
      <c r="AQ158" s="35"/>
      <c r="AR158" s="35"/>
      <c r="AS158" s="35"/>
      <c r="AT158" s="35"/>
      <c r="AU158" s="35"/>
    </row>
    <row r="159" spans="1:47" s="7" customFormat="1" ht="15.75" customHeight="1" x14ac:dyDescent="0.35">
      <c r="A159" s="12" t="s">
        <v>17</v>
      </c>
      <c r="B159" s="33">
        <v>90134.3</v>
      </c>
      <c r="C159" s="35">
        <f t="shared" si="2"/>
        <v>13241.02</v>
      </c>
      <c r="D159" s="35"/>
      <c r="E159" s="35"/>
      <c r="F159" s="35"/>
      <c r="G159" s="35"/>
      <c r="H159" s="35"/>
      <c r="I159" s="35"/>
      <c r="J159" s="35">
        <v>6</v>
      </c>
      <c r="K159" s="35">
        <v>700.35</v>
      </c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>
        <v>6</v>
      </c>
      <c r="Y159" s="35">
        <v>2905</v>
      </c>
      <c r="Z159" s="35"/>
      <c r="AA159" s="35"/>
      <c r="AB159" s="35"/>
      <c r="AC159" s="35"/>
      <c r="AD159" s="35">
        <v>18</v>
      </c>
      <c r="AE159" s="35">
        <v>3303.15</v>
      </c>
      <c r="AF159" s="35"/>
      <c r="AG159" s="35"/>
      <c r="AH159" s="35">
        <v>3</v>
      </c>
      <c r="AI159" s="35">
        <v>1096.52</v>
      </c>
      <c r="AJ159" s="35"/>
      <c r="AK159" s="35"/>
      <c r="AL159" s="35">
        <v>35</v>
      </c>
      <c r="AM159" s="35">
        <v>5236</v>
      </c>
      <c r="AN159" s="36"/>
      <c r="AO159" s="36"/>
      <c r="AP159" s="36"/>
      <c r="AQ159" s="35"/>
      <c r="AR159" s="35"/>
      <c r="AS159" s="35"/>
      <c r="AT159" s="35"/>
      <c r="AU159" s="35"/>
    </row>
    <row r="160" spans="1:47" s="7" customFormat="1" ht="15.75" customHeight="1" x14ac:dyDescent="0.35">
      <c r="A160" s="12" t="s">
        <v>18</v>
      </c>
      <c r="B160" s="33">
        <v>170278.33</v>
      </c>
      <c r="C160" s="35">
        <f t="shared" si="2"/>
        <v>51049.466999999997</v>
      </c>
      <c r="D160" s="35">
        <v>2</v>
      </c>
      <c r="E160" s="35">
        <v>314</v>
      </c>
      <c r="F160" s="35"/>
      <c r="G160" s="35"/>
      <c r="H160" s="35"/>
      <c r="I160" s="35"/>
      <c r="J160" s="35">
        <v>69</v>
      </c>
      <c r="K160" s="35">
        <f>775.45+37062</f>
        <v>37837.449999999997</v>
      </c>
      <c r="L160" s="35"/>
      <c r="M160" s="35"/>
      <c r="N160" s="35"/>
      <c r="O160" s="35"/>
      <c r="P160" s="35"/>
      <c r="Q160" s="35"/>
      <c r="R160" s="35">
        <v>1</v>
      </c>
      <c r="S160" s="35">
        <v>383</v>
      </c>
      <c r="T160" s="35">
        <v>8</v>
      </c>
      <c r="U160" s="35">
        <v>1527</v>
      </c>
      <c r="V160" s="35"/>
      <c r="W160" s="35"/>
      <c r="X160" s="35"/>
      <c r="Y160" s="35"/>
      <c r="Z160" s="35">
        <v>6</v>
      </c>
      <c r="AA160" s="35">
        <v>3605.1</v>
      </c>
      <c r="AB160" s="35"/>
      <c r="AC160" s="35"/>
      <c r="AD160" s="35">
        <v>5</v>
      </c>
      <c r="AE160" s="35">
        <v>4005</v>
      </c>
      <c r="AF160" s="35"/>
      <c r="AG160" s="35"/>
      <c r="AH160" s="35">
        <v>1</v>
      </c>
      <c r="AI160" s="35">
        <v>345.91699999999997</v>
      </c>
      <c r="AJ160" s="35"/>
      <c r="AK160" s="35"/>
      <c r="AL160" s="35">
        <v>5</v>
      </c>
      <c r="AM160" s="35">
        <v>3032</v>
      </c>
      <c r="AN160" s="36"/>
      <c r="AO160" s="36"/>
      <c r="AP160" s="36"/>
      <c r="AQ160" s="35"/>
      <c r="AR160" s="35"/>
      <c r="AS160" s="35"/>
      <c r="AT160" s="35"/>
      <c r="AU160" s="35"/>
    </row>
    <row r="161" spans="1:47" s="7" customFormat="1" ht="15.75" customHeight="1" x14ac:dyDescent="0.35">
      <c r="A161" s="12" t="s">
        <v>19</v>
      </c>
      <c r="B161" s="33">
        <v>127253.74</v>
      </c>
      <c r="C161" s="35">
        <f t="shared" si="2"/>
        <v>7638.3</v>
      </c>
      <c r="D161" s="35"/>
      <c r="E161" s="35"/>
      <c r="F161" s="35"/>
      <c r="G161" s="35"/>
      <c r="H161" s="35"/>
      <c r="I161" s="35"/>
      <c r="J161" s="35">
        <v>6</v>
      </c>
      <c r="K161" s="35">
        <v>700.35</v>
      </c>
      <c r="L161" s="35"/>
      <c r="M161" s="35"/>
      <c r="N161" s="35"/>
      <c r="O161" s="35"/>
      <c r="P161" s="35"/>
      <c r="Q161" s="35"/>
      <c r="R161" s="35">
        <v>2</v>
      </c>
      <c r="S161" s="35">
        <v>752.95</v>
      </c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>
        <v>1</v>
      </c>
      <c r="AG161" s="35">
        <v>5773</v>
      </c>
      <c r="AH161" s="35"/>
      <c r="AI161" s="35"/>
      <c r="AJ161" s="35"/>
      <c r="AK161" s="35"/>
      <c r="AL161" s="35">
        <v>1</v>
      </c>
      <c r="AM161" s="35">
        <v>412</v>
      </c>
      <c r="AN161" s="36"/>
      <c r="AO161" s="36"/>
      <c r="AP161" s="36"/>
      <c r="AQ161" s="35"/>
      <c r="AR161" s="35"/>
      <c r="AS161" s="35"/>
      <c r="AT161" s="35"/>
      <c r="AU161" s="35"/>
    </row>
    <row r="162" spans="1:47" s="7" customFormat="1" ht="15.75" customHeight="1" x14ac:dyDescent="0.35">
      <c r="A162" s="12" t="s">
        <v>20</v>
      </c>
      <c r="B162" s="33">
        <v>316668.71999999997</v>
      </c>
      <c r="C162" s="35">
        <f t="shared" si="2"/>
        <v>71080.36599999998</v>
      </c>
      <c r="D162" s="35">
        <v>4</v>
      </c>
      <c r="E162" s="35">
        <v>1464.09</v>
      </c>
      <c r="F162" s="35"/>
      <c r="G162" s="35"/>
      <c r="H162" s="35"/>
      <c r="I162" s="35"/>
      <c r="J162" s="35">
        <f>82+6+8.75</f>
        <v>96.75</v>
      </c>
      <c r="K162" s="35">
        <f>657.11+2157.182+51509</f>
        <v>54323.292000000001</v>
      </c>
      <c r="L162" s="35"/>
      <c r="M162" s="35"/>
      <c r="N162" s="35"/>
      <c r="O162" s="35"/>
      <c r="P162" s="35">
        <v>9</v>
      </c>
      <c r="Q162" s="35">
        <f>788.414+2774.18</f>
        <v>3562.5940000000001</v>
      </c>
      <c r="R162" s="35">
        <v>3</v>
      </c>
      <c r="S162" s="35">
        <f>2257.4+376.48+376.48</f>
        <v>3010.36</v>
      </c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>
        <v>2</v>
      </c>
      <c r="AE162" s="35">
        <v>1969.42</v>
      </c>
      <c r="AF162" s="35"/>
      <c r="AG162" s="35"/>
      <c r="AH162" s="35">
        <v>3</v>
      </c>
      <c r="AI162" s="35">
        <v>1096.52</v>
      </c>
      <c r="AJ162" s="35">
        <v>10</v>
      </c>
      <c r="AK162" s="35">
        <v>1147.54</v>
      </c>
      <c r="AL162" s="35">
        <v>3</v>
      </c>
      <c r="AM162" s="35">
        <f>2678.51+97</f>
        <v>2775.51</v>
      </c>
      <c r="AN162" s="36">
        <v>4</v>
      </c>
      <c r="AO162" s="36">
        <f>865.52+865.52</f>
        <v>1731.04</v>
      </c>
      <c r="AP162" s="36"/>
      <c r="AQ162" s="35"/>
      <c r="AR162" s="35"/>
      <c r="AS162" s="35"/>
      <c r="AT162" s="35"/>
      <c r="AU162" s="35"/>
    </row>
    <row r="163" spans="1:47" s="7" customFormat="1" ht="15.75" customHeight="1" x14ac:dyDescent="0.35">
      <c r="A163" s="12" t="s">
        <v>21</v>
      </c>
      <c r="B163" s="33">
        <v>341004.6</v>
      </c>
      <c r="C163" s="35">
        <f t="shared" si="2"/>
        <v>177630.9</v>
      </c>
      <c r="D163" s="35">
        <v>4</v>
      </c>
      <c r="E163" s="35">
        <v>1630.36</v>
      </c>
      <c r="F163" s="35"/>
      <c r="G163" s="35"/>
      <c r="H163" s="35"/>
      <c r="I163" s="35"/>
      <c r="J163" s="35">
        <f>22.5+132</f>
        <v>154.5</v>
      </c>
      <c r="K163" s="35">
        <f>1904.67+82918</f>
        <v>84822.67</v>
      </c>
      <c r="L163" s="35"/>
      <c r="M163" s="35"/>
      <c r="N163" s="35"/>
      <c r="O163" s="35"/>
      <c r="P163" s="35">
        <v>19</v>
      </c>
      <c r="Q163" s="35">
        <f>3035+1820.74+3022</f>
        <v>7877.74</v>
      </c>
      <c r="R163" s="35"/>
      <c r="S163" s="35"/>
      <c r="T163" s="35"/>
      <c r="U163" s="35"/>
      <c r="V163" s="35"/>
      <c r="W163" s="35"/>
      <c r="X163" s="35">
        <v>1</v>
      </c>
      <c r="Y163" s="35">
        <v>248.98</v>
      </c>
      <c r="Z163" s="35"/>
      <c r="AA163" s="35"/>
      <c r="AB163" s="35"/>
      <c r="AC163" s="35"/>
      <c r="AD163" s="35">
        <v>23</v>
      </c>
      <c r="AE163" s="35">
        <f>3361.82+7937</f>
        <v>11298.82</v>
      </c>
      <c r="AF163" s="35"/>
      <c r="AG163" s="35"/>
      <c r="AH163" s="35"/>
      <c r="AI163" s="35"/>
      <c r="AJ163" s="35">
        <v>81</v>
      </c>
      <c r="AK163" s="35">
        <v>17570.8</v>
      </c>
      <c r="AL163" s="35"/>
      <c r="AM163" s="35"/>
      <c r="AN163" s="36">
        <v>1</v>
      </c>
      <c r="AO163" s="36">
        <f>2842.51+4255</f>
        <v>7097.51</v>
      </c>
      <c r="AP163" s="36"/>
      <c r="AQ163" s="35">
        <v>47084.02</v>
      </c>
      <c r="AR163" s="35"/>
      <c r="AS163" s="35"/>
      <c r="AT163" s="35"/>
      <c r="AU163" s="35"/>
    </row>
    <row r="164" spans="1:47" s="7" customFormat="1" ht="15.75" customHeight="1" x14ac:dyDescent="0.35">
      <c r="A164" s="12" t="s">
        <v>22</v>
      </c>
      <c r="B164" s="33">
        <v>346008.24</v>
      </c>
      <c r="C164" s="35">
        <f t="shared" si="2"/>
        <v>445199.72200000007</v>
      </c>
      <c r="D164" s="35">
        <v>2.5</v>
      </c>
      <c r="E164" s="35">
        <v>1736.46</v>
      </c>
      <c r="F164" s="35"/>
      <c r="G164" s="35"/>
      <c r="H164" s="35"/>
      <c r="I164" s="35"/>
      <c r="J164" s="35">
        <v>440</v>
      </c>
      <c r="K164" s="35">
        <f>150.19+275138</f>
        <v>275288.19</v>
      </c>
      <c r="L164" s="35"/>
      <c r="M164" s="35"/>
      <c r="N164" s="35"/>
      <c r="O164" s="35"/>
      <c r="P164" s="35">
        <v>14</v>
      </c>
      <c r="Q164" s="35">
        <f>2379.85+4665</f>
        <v>7044.85</v>
      </c>
      <c r="R164" s="35"/>
      <c r="S164" s="35"/>
      <c r="T164" s="35">
        <f>37+6</f>
        <v>43</v>
      </c>
      <c r="U164" s="35">
        <f>20423.7+17147.7+9045</f>
        <v>46616.4</v>
      </c>
      <c r="V164" s="35"/>
      <c r="W164" s="35"/>
      <c r="X164" s="35">
        <v>16.5</v>
      </c>
      <c r="Y164" s="35">
        <v>4420.6499999999996</v>
      </c>
      <c r="Z164" s="35">
        <f>12+2.1+1.8</f>
        <v>15.9</v>
      </c>
      <c r="AA164" s="35">
        <f>5034.23+5780.91+61701.03</f>
        <v>72516.17</v>
      </c>
      <c r="AB164" s="35"/>
      <c r="AC164" s="35"/>
      <c r="AD164" s="35">
        <v>5</v>
      </c>
      <c r="AE164" s="35">
        <v>4450.03</v>
      </c>
      <c r="AF164" s="35"/>
      <c r="AG164" s="35"/>
      <c r="AH164" s="35"/>
      <c r="AI164" s="35"/>
      <c r="AJ164" s="35">
        <v>18</v>
      </c>
      <c r="AK164" s="35">
        <f>579.899+830</f>
        <v>1409.8989999999999</v>
      </c>
      <c r="AL164" s="35">
        <v>18</v>
      </c>
      <c r="AM164" s="35">
        <f>1654+260.273</f>
        <v>1914.2730000000001</v>
      </c>
      <c r="AN164" s="36">
        <v>6</v>
      </c>
      <c r="AO164" s="36">
        <f>865.52+15508</f>
        <v>16373.52</v>
      </c>
      <c r="AP164" s="36"/>
      <c r="AQ164" s="35">
        <v>13429.28</v>
      </c>
      <c r="AR164" s="35"/>
      <c r="AS164" s="35"/>
      <c r="AT164" s="35"/>
      <c r="AU164" s="35"/>
    </row>
    <row r="165" spans="1:47" s="7" customFormat="1" ht="15.75" customHeight="1" x14ac:dyDescent="0.35">
      <c r="A165" s="12" t="s">
        <v>23</v>
      </c>
      <c r="B165" s="33">
        <v>331854</v>
      </c>
      <c r="C165" s="35">
        <f t="shared" si="2"/>
        <v>142677.32399999999</v>
      </c>
      <c r="D165" s="35"/>
      <c r="E165" s="35"/>
      <c r="F165" s="35"/>
      <c r="G165" s="35"/>
      <c r="H165" s="35"/>
      <c r="I165" s="35"/>
      <c r="J165" s="35"/>
      <c r="K165" s="35"/>
      <c r="L165" s="35">
        <v>137</v>
      </c>
      <c r="M165" s="35">
        <v>21162</v>
      </c>
      <c r="N165" s="35"/>
      <c r="O165" s="35"/>
      <c r="P165" s="35">
        <v>18</v>
      </c>
      <c r="Q165" s="35">
        <f>771.6+5202.44</f>
        <v>5974.04</v>
      </c>
      <c r="R165" s="35"/>
      <c r="S165" s="35"/>
      <c r="T165" s="35"/>
      <c r="U165" s="35"/>
      <c r="V165" s="35"/>
      <c r="W165" s="35"/>
      <c r="X165" s="35">
        <v>43.5</v>
      </c>
      <c r="Y165" s="35">
        <v>14876.779</v>
      </c>
      <c r="Z165" s="35">
        <v>1</v>
      </c>
      <c r="AA165" s="35">
        <v>16691</v>
      </c>
      <c r="AB165" s="35"/>
      <c r="AC165" s="35"/>
      <c r="AD165" s="64">
        <f>6+2+94+12+33</f>
        <v>147</v>
      </c>
      <c r="AE165" s="40">
        <f>2947.6+1255.11+3383.02+4098.85+19974.3+1994.2+885+16038.7+5134.63</f>
        <v>55711.409999999996</v>
      </c>
      <c r="AF165" s="40"/>
      <c r="AG165" s="35"/>
      <c r="AH165" s="35">
        <v>14</v>
      </c>
      <c r="AI165" s="35">
        <f>819.85+409.93+525.96+526.422+3693.71</f>
        <v>5975.8720000000003</v>
      </c>
      <c r="AJ165" s="36">
        <f>15+51</f>
        <v>66</v>
      </c>
      <c r="AK165" s="36">
        <f>8957.95+496.107+495.919+9497</f>
        <v>19446.976000000002</v>
      </c>
      <c r="AL165" s="36">
        <v>2</v>
      </c>
      <c r="AM165" s="35">
        <v>244.43700000000001</v>
      </c>
      <c r="AN165" s="64">
        <v>4</v>
      </c>
      <c r="AO165" s="40">
        <f>432.77+1081.16+1080.88</f>
        <v>2594.8100000000004</v>
      </c>
      <c r="AP165" s="40"/>
      <c r="AQ165" s="35"/>
      <c r="AR165" s="35"/>
      <c r="AS165" s="35"/>
      <c r="AT165" s="35"/>
      <c r="AU165" s="35"/>
    </row>
    <row r="166" spans="1:47" s="7" customFormat="1" ht="15.75" customHeight="1" x14ac:dyDescent="0.35">
      <c r="A166" s="12" t="s">
        <v>24</v>
      </c>
      <c r="B166" s="33">
        <v>351307.98</v>
      </c>
      <c r="C166" s="35">
        <f t="shared" si="2"/>
        <v>286871.34000000003</v>
      </c>
      <c r="D166" s="35"/>
      <c r="E166" s="35"/>
      <c r="F166" s="35"/>
      <c r="G166" s="35"/>
      <c r="H166" s="35"/>
      <c r="I166" s="35"/>
      <c r="J166" s="35">
        <v>6</v>
      </c>
      <c r="K166" s="35">
        <v>450.58</v>
      </c>
      <c r="L166" s="35"/>
      <c r="M166" s="35"/>
      <c r="N166" s="35"/>
      <c r="O166" s="35"/>
      <c r="P166" s="35">
        <v>8</v>
      </c>
      <c r="Q166" s="35">
        <v>1255.52</v>
      </c>
      <c r="R166" s="35"/>
      <c r="S166" s="35"/>
      <c r="T166" s="35">
        <v>7</v>
      </c>
      <c r="U166" s="35">
        <v>4188</v>
      </c>
      <c r="V166" s="35"/>
      <c r="W166" s="35"/>
      <c r="X166" s="35"/>
      <c r="Y166" s="35"/>
      <c r="Z166" s="35">
        <v>10</v>
      </c>
      <c r="AA166" s="35">
        <v>4378.47</v>
      </c>
      <c r="AB166" s="35"/>
      <c r="AC166" s="35"/>
      <c r="AD166" s="35">
        <v>45</v>
      </c>
      <c r="AE166" s="35">
        <f>73531+8308.07+26007</f>
        <v>107846.07</v>
      </c>
      <c r="AF166" s="35"/>
      <c r="AG166" s="35"/>
      <c r="AH166" s="35">
        <v>2</v>
      </c>
      <c r="AI166" s="35">
        <v>4456.1000000000004</v>
      </c>
      <c r="AJ166" s="35">
        <v>34</v>
      </c>
      <c r="AK166" s="35">
        <v>455.48</v>
      </c>
      <c r="AL166" s="35">
        <v>31</v>
      </c>
      <c r="AM166" s="35">
        <v>112.1</v>
      </c>
      <c r="AN166" s="36"/>
      <c r="AO166" s="36"/>
      <c r="AP166" s="36"/>
      <c r="AQ166" s="35"/>
      <c r="AR166" s="35">
        <v>30</v>
      </c>
      <c r="AS166" s="35">
        <v>163729.01999999999</v>
      </c>
      <c r="AT166" s="35"/>
      <c r="AU166" s="35"/>
    </row>
    <row r="167" spans="1:47" s="7" customFormat="1" ht="15.75" customHeight="1" x14ac:dyDescent="0.35">
      <c r="A167" s="12" t="s">
        <v>25</v>
      </c>
      <c r="B167" s="33">
        <v>434589.23</v>
      </c>
      <c r="C167" s="35">
        <f t="shared" si="2"/>
        <v>9434.7959999999985</v>
      </c>
      <c r="D167" s="35"/>
      <c r="E167" s="35"/>
      <c r="F167" s="35"/>
      <c r="G167" s="35"/>
      <c r="H167" s="35"/>
      <c r="I167" s="35"/>
      <c r="J167" s="35">
        <v>1.5</v>
      </c>
      <c r="K167" s="35">
        <v>112.64</v>
      </c>
      <c r="L167" s="35"/>
      <c r="M167" s="35"/>
      <c r="N167" s="35"/>
      <c r="O167" s="35"/>
      <c r="P167" s="35">
        <v>8</v>
      </c>
      <c r="Q167" s="35">
        <f>1584.93+761.9+969.96</f>
        <v>3316.79</v>
      </c>
      <c r="R167" s="35">
        <v>2</v>
      </c>
      <c r="S167" s="35">
        <v>438.49</v>
      </c>
      <c r="T167" s="35"/>
      <c r="U167" s="35"/>
      <c r="V167" s="35"/>
      <c r="W167" s="35"/>
      <c r="X167" s="35">
        <v>10</v>
      </c>
      <c r="Y167" s="35">
        <v>3504.98</v>
      </c>
      <c r="Z167" s="35"/>
      <c r="AA167" s="35"/>
      <c r="AB167" s="35"/>
      <c r="AC167" s="35"/>
      <c r="AD167" s="35">
        <v>3</v>
      </c>
      <c r="AE167" s="35">
        <v>1679.14</v>
      </c>
      <c r="AF167" s="35"/>
      <c r="AG167" s="35"/>
      <c r="AH167" s="35"/>
      <c r="AI167" s="35"/>
      <c r="AJ167" s="35">
        <v>3</v>
      </c>
      <c r="AK167" s="35">
        <v>252.614</v>
      </c>
      <c r="AL167" s="35">
        <v>1</v>
      </c>
      <c r="AM167" s="35">
        <v>130.142</v>
      </c>
      <c r="AN167" s="36"/>
      <c r="AO167" s="36"/>
      <c r="AP167" s="36"/>
      <c r="AQ167" s="35"/>
      <c r="AR167" s="35"/>
      <c r="AS167" s="35"/>
      <c r="AT167" s="35"/>
      <c r="AU167" s="35"/>
    </row>
    <row r="168" spans="1:47" s="7" customFormat="1" ht="15.75" customHeight="1" x14ac:dyDescent="0.35">
      <c r="A168" s="12" t="s">
        <v>26</v>
      </c>
      <c r="B168" s="33">
        <v>204140.28</v>
      </c>
      <c r="C168" s="35">
        <f t="shared" si="2"/>
        <v>93036.579999999987</v>
      </c>
      <c r="D168" s="35">
        <v>2.5</v>
      </c>
      <c r="E168" s="35">
        <v>860</v>
      </c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>
        <v>21</v>
      </c>
      <c r="Q168" s="35">
        <f>958.57+7612.84</f>
        <v>8571.41</v>
      </c>
      <c r="R168" s="35">
        <v>3</v>
      </c>
      <c r="S168" s="35">
        <v>933.38</v>
      </c>
      <c r="T168" s="35">
        <v>12</v>
      </c>
      <c r="U168" s="35">
        <v>14237.8</v>
      </c>
      <c r="V168" s="35"/>
      <c r="W168" s="35"/>
      <c r="X168" s="35"/>
      <c r="Y168" s="35"/>
      <c r="Z168" s="35"/>
      <c r="AA168" s="35"/>
      <c r="AB168" s="35"/>
      <c r="AC168" s="35"/>
      <c r="AD168" s="35">
        <v>60</v>
      </c>
      <c r="AE168" s="35">
        <v>33512.6</v>
      </c>
      <c r="AF168" s="35"/>
      <c r="AG168" s="35"/>
      <c r="AH168" s="35">
        <v>10</v>
      </c>
      <c r="AI168" s="35">
        <v>29303.74</v>
      </c>
      <c r="AJ168" s="35">
        <v>39</v>
      </c>
      <c r="AK168" s="35">
        <v>1436</v>
      </c>
      <c r="AL168" s="35"/>
      <c r="AM168" s="35"/>
      <c r="AN168" s="36">
        <v>3</v>
      </c>
      <c r="AO168" s="36">
        <f>432.77+3748.88</f>
        <v>4181.6499999999996</v>
      </c>
      <c r="AP168" s="36"/>
      <c r="AQ168" s="35"/>
      <c r="AR168" s="35"/>
      <c r="AS168" s="35"/>
      <c r="AT168" s="35"/>
      <c r="AU168" s="35"/>
    </row>
    <row r="169" spans="1:47" s="7" customFormat="1" ht="15.75" customHeight="1" x14ac:dyDescent="0.35">
      <c r="A169" s="12" t="s">
        <v>27</v>
      </c>
      <c r="B169" s="33">
        <v>1039684.98</v>
      </c>
      <c r="C169" s="35">
        <f t="shared" si="2"/>
        <v>135238.86300000001</v>
      </c>
      <c r="D169" s="35"/>
      <c r="E169" s="35"/>
      <c r="F169" s="35"/>
      <c r="G169" s="35"/>
      <c r="H169" s="35"/>
      <c r="I169" s="35"/>
      <c r="J169" s="35">
        <v>111</v>
      </c>
      <c r="K169" s="35">
        <v>69726</v>
      </c>
      <c r="L169" s="35"/>
      <c r="M169" s="35"/>
      <c r="N169" s="35"/>
      <c r="O169" s="35"/>
      <c r="P169" s="35">
        <v>34</v>
      </c>
      <c r="Q169" s="35">
        <f>6104+1178.27+10974.49</f>
        <v>18256.760000000002</v>
      </c>
      <c r="R169" s="35">
        <v>1</v>
      </c>
      <c r="S169" s="35">
        <f>1039.698</f>
        <v>1039.6980000000001</v>
      </c>
      <c r="T169" s="35">
        <v>6</v>
      </c>
      <c r="U169" s="35">
        <v>10200.5</v>
      </c>
      <c r="V169" s="35"/>
      <c r="W169" s="35"/>
      <c r="X169" s="35"/>
      <c r="Y169" s="35"/>
      <c r="Z169" s="35"/>
      <c r="AA169" s="35"/>
      <c r="AB169" s="35"/>
      <c r="AC169" s="35"/>
      <c r="AD169" s="35">
        <v>24.5</v>
      </c>
      <c r="AE169" s="35">
        <f>2050.86+2620+5301.1+1702.74+4134.72</f>
        <v>15809.420000000002</v>
      </c>
      <c r="AF169" s="35"/>
      <c r="AG169" s="35"/>
      <c r="AH169" s="35">
        <v>3</v>
      </c>
      <c r="AI169" s="35">
        <f>3647.96+628</f>
        <v>4275.96</v>
      </c>
      <c r="AJ169" s="35">
        <v>20</v>
      </c>
      <c r="AK169" s="35">
        <v>5343.77</v>
      </c>
      <c r="AL169" s="35">
        <v>10</v>
      </c>
      <c r="AM169" s="35">
        <f>461.805+4581.23</f>
        <v>5043.0349999999999</v>
      </c>
      <c r="AN169" s="36">
        <v>5</v>
      </c>
      <c r="AO169" s="36">
        <v>5543.72</v>
      </c>
      <c r="AP169" s="36"/>
      <c r="AQ169" s="35"/>
      <c r="AR169" s="35"/>
      <c r="AS169" s="35"/>
      <c r="AT169" s="35"/>
      <c r="AU169" s="35"/>
    </row>
    <row r="170" spans="1:47" s="7" customFormat="1" ht="15.75" customHeight="1" x14ac:dyDescent="0.35">
      <c r="A170" s="13" t="s">
        <v>28</v>
      </c>
      <c r="B170" s="33">
        <v>67764.479999999996</v>
      </c>
      <c r="C170" s="35">
        <f t="shared" si="2"/>
        <v>187424.49600000001</v>
      </c>
      <c r="D170" s="35"/>
      <c r="E170" s="35"/>
      <c r="F170" s="35"/>
      <c r="G170" s="35"/>
      <c r="H170" s="35"/>
      <c r="I170" s="35"/>
      <c r="J170" s="35">
        <f>15.5+53.5</f>
        <v>69</v>
      </c>
      <c r="K170" s="35">
        <f>1413.77+6297.31+2336</f>
        <v>10047.08</v>
      </c>
      <c r="L170" s="35">
        <v>318</v>
      </c>
      <c r="M170" s="35">
        <v>112013</v>
      </c>
      <c r="N170" s="35"/>
      <c r="O170" s="35"/>
      <c r="P170" s="35"/>
      <c r="Q170" s="35"/>
      <c r="R170" s="35">
        <v>2</v>
      </c>
      <c r="S170" s="35">
        <v>752.95</v>
      </c>
      <c r="T170" s="35"/>
      <c r="U170" s="35"/>
      <c r="V170" s="35"/>
      <c r="W170" s="35"/>
      <c r="X170" s="35">
        <f>5+6.5</f>
        <v>11.5</v>
      </c>
      <c r="Y170" s="35">
        <f>2035.94+17188.328</f>
        <v>19224.268</v>
      </c>
      <c r="Z170" s="35">
        <v>2</v>
      </c>
      <c r="AA170" s="35">
        <v>30439</v>
      </c>
      <c r="AB170" s="35"/>
      <c r="AC170" s="35"/>
      <c r="AD170" s="35">
        <f>14+7</f>
        <v>21</v>
      </c>
      <c r="AE170" s="35">
        <f>4358.578+10147</f>
        <v>14505.578000000001</v>
      </c>
      <c r="AF170" s="35"/>
      <c r="AG170" s="35"/>
      <c r="AH170" s="35"/>
      <c r="AI170" s="35"/>
      <c r="AJ170" s="35"/>
      <c r="AK170" s="35"/>
      <c r="AL170" s="35">
        <v>3</v>
      </c>
      <c r="AM170" s="35">
        <v>442.62</v>
      </c>
      <c r="AN170" s="36"/>
      <c r="AO170" s="36"/>
      <c r="AP170" s="36"/>
      <c r="AQ170" s="35"/>
      <c r="AR170" s="35"/>
      <c r="AS170" s="35"/>
      <c r="AT170" s="35"/>
      <c r="AU170" s="35"/>
    </row>
    <row r="171" spans="1:47" s="7" customFormat="1" ht="15.75" customHeight="1" x14ac:dyDescent="0.35">
      <c r="A171" s="13" t="s">
        <v>29</v>
      </c>
      <c r="B171" s="33">
        <v>47891.28</v>
      </c>
      <c r="C171" s="35">
        <f t="shared" si="2"/>
        <v>31815.089999999997</v>
      </c>
      <c r="D171" s="35"/>
      <c r="E171" s="35"/>
      <c r="F171" s="35"/>
      <c r="G171" s="35"/>
      <c r="H171" s="35"/>
      <c r="I171" s="35"/>
      <c r="J171" s="35">
        <f>15+38</f>
        <v>53</v>
      </c>
      <c r="K171" s="35">
        <f>16333+5117.92+5118+2125.55</f>
        <v>28694.469999999998</v>
      </c>
      <c r="L171" s="35"/>
      <c r="M171" s="35"/>
      <c r="N171" s="35"/>
      <c r="O171" s="35"/>
      <c r="P171" s="35"/>
      <c r="Q171" s="35"/>
      <c r="R171" s="64">
        <v>5</v>
      </c>
      <c r="S171" s="40">
        <f>1528.9+1149.1</f>
        <v>2678</v>
      </c>
      <c r="T171" s="40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>
        <v>3</v>
      </c>
      <c r="AM171" s="35">
        <v>442.62</v>
      </c>
      <c r="AN171" s="64"/>
      <c r="AO171" s="40"/>
      <c r="AP171" s="40"/>
      <c r="AQ171" s="35"/>
      <c r="AR171" s="35"/>
      <c r="AS171" s="35"/>
      <c r="AT171" s="35"/>
      <c r="AU171" s="35"/>
    </row>
    <row r="172" spans="1:47" s="7" customFormat="1" ht="15.75" customHeight="1" x14ac:dyDescent="0.35">
      <c r="A172" s="13" t="s">
        <v>30</v>
      </c>
      <c r="B172" s="33">
        <v>69982.080000000002</v>
      </c>
      <c r="C172" s="35">
        <f t="shared" si="2"/>
        <v>4968.3600000000006</v>
      </c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>
        <v>1</v>
      </c>
      <c r="S172" s="35">
        <v>1200</v>
      </c>
      <c r="T172" s="35"/>
      <c r="U172" s="35"/>
      <c r="V172" s="35"/>
      <c r="W172" s="35"/>
      <c r="X172" s="35">
        <v>2.2999999999999998</v>
      </c>
      <c r="Y172" s="35">
        <v>730.36</v>
      </c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6">
        <v>1</v>
      </c>
      <c r="AO172" s="36">
        <v>3038</v>
      </c>
      <c r="AP172" s="36"/>
      <c r="AQ172" s="35"/>
      <c r="AR172" s="35"/>
      <c r="AS172" s="35"/>
      <c r="AT172" s="35"/>
      <c r="AU172" s="35"/>
    </row>
    <row r="173" spans="1:47" s="7" customFormat="1" ht="15.75" customHeight="1" x14ac:dyDescent="0.35">
      <c r="A173" s="13" t="s">
        <v>31</v>
      </c>
      <c r="B173" s="33">
        <v>125577.48</v>
      </c>
      <c r="C173" s="35">
        <f t="shared" si="2"/>
        <v>60894.11099999999</v>
      </c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>
        <v>25</v>
      </c>
      <c r="AE173" s="35">
        <f>1423.03+27527.93+2012.974+5010</f>
        <v>35973.933999999994</v>
      </c>
      <c r="AF173" s="35"/>
      <c r="AG173" s="35"/>
      <c r="AH173" s="35">
        <v>10</v>
      </c>
      <c r="AI173" s="35">
        <v>4325.74</v>
      </c>
      <c r="AJ173" s="35">
        <v>8</v>
      </c>
      <c r="AK173" s="35">
        <v>661.23699999999997</v>
      </c>
      <c r="AL173" s="35">
        <v>4</v>
      </c>
      <c r="AM173" s="35">
        <v>2018</v>
      </c>
      <c r="AN173" s="64">
        <v>3</v>
      </c>
      <c r="AO173" s="40">
        <f>15955.2+1960</f>
        <v>17915.2</v>
      </c>
      <c r="AP173" s="40"/>
      <c r="AQ173" s="35"/>
      <c r="AR173" s="35"/>
      <c r="AS173" s="35"/>
      <c r="AT173" s="35"/>
      <c r="AU173" s="35"/>
    </row>
    <row r="174" spans="1:47" s="7" customFormat="1" ht="15.75" customHeight="1" x14ac:dyDescent="0.35">
      <c r="A174" s="13" t="s">
        <v>32</v>
      </c>
      <c r="B174" s="33">
        <v>278017.44</v>
      </c>
      <c r="C174" s="35">
        <f t="shared" si="2"/>
        <v>9670.1644000000015</v>
      </c>
      <c r="D174" s="35"/>
      <c r="E174" s="35"/>
      <c r="F174" s="35"/>
      <c r="G174" s="35"/>
      <c r="H174" s="35"/>
      <c r="I174" s="35"/>
      <c r="J174" s="35">
        <v>6</v>
      </c>
      <c r="K174" s="35">
        <v>950.12</v>
      </c>
      <c r="L174" s="35"/>
      <c r="M174" s="35"/>
      <c r="N174" s="35"/>
      <c r="O174" s="35"/>
      <c r="P174" s="35">
        <v>7</v>
      </c>
      <c r="Q174" s="35">
        <f>772+1892.73</f>
        <v>2664.73</v>
      </c>
      <c r="R174" s="35">
        <v>2</v>
      </c>
      <c r="S174" s="35">
        <v>601</v>
      </c>
      <c r="T174" s="35"/>
      <c r="U174" s="35"/>
      <c r="V174" s="35"/>
      <c r="W174" s="35"/>
      <c r="X174" s="35">
        <v>3.5</v>
      </c>
      <c r="Y174" s="35">
        <v>1090.8273999999999</v>
      </c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>
        <v>16</v>
      </c>
      <c r="AK174" s="35">
        <f>1309.48+661.237</f>
        <v>1970.7170000000001</v>
      </c>
      <c r="AL174" s="35"/>
      <c r="AM174" s="35"/>
      <c r="AN174" s="36">
        <v>3</v>
      </c>
      <c r="AO174" s="36">
        <f>432.77+1960</f>
        <v>2392.77</v>
      </c>
      <c r="AP174" s="36"/>
      <c r="AQ174" s="35"/>
      <c r="AR174" s="35"/>
      <c r="AS174" s="35"/>
      <c r="AT174" s="35"/>
      <c r="AU174" s="35"/>
    </row>
    <row r="175" spans="1:47" s="7" customFormat="1" ht="15.75" customHeight="1" x14ac:dyDescent="0.35">
      <c r="A175" s="13" t="s">
        <v>33</v>
      </c>
      <c r="B175" s="33">
        <v>74996.160000000003</v>
      </c>
      <c r="C175" s="35">
        <f t="shared" si="2"/>
        <v>55979.96</v>
      </c>
      <c r="D175" s="35">
        <v>2.5</v>
      </c>
      <c r="E175" s="35">
        <v>859.83</v>
      </c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>
        <v>10</v>
      </c>
      <c r="U175" s="35">
        <v>11864.8</v>
      </c>
      <c r="V175" s="35"/>
      <c r="W175" s="35"/>
      <c r="X175" s="35"/>
      <c r="Y175" s="35"/>
      <c r="Z175" s="35"/>
      <c r="AA175" s="35"/>
      <c r="AB175" s="35"/>
      <c r="AC175" s="35"/>
      <c r="AD175" s="35">
        <v>12</v>
      </c>
      <c r="AE175" s="35">
        <v>5996</v>
      </c>
      <c r="AF175" s="35"/>
      <c r="AG175" s="35"/>
      <c r="AH175" s="35">
        <v>1</v>
      </c>
      <c r="AI175" s="35">
        <v>525.96</v>
      </c>
      <c r="AJ175" s="35"/>
      <c r="AK175" s="35"/>
      <c r="AL175" s="35"/>
      <c r="AM175" s="35"/>
      <c r="AN175" s="36">
        <v>2</v>
      </c>
      <c r="AO175" s="36">
        <f>432.77+1958.88</f>
        <v>2391.65</v>
      </c>
      <c r="AP175" s="36"/>
      <c r="AQ175" s="35">
        <v>34341.72</v>
      </c>
      <c r="AR175" s="35"/>
      <c r="AS175" s="35"/>
      <c r="AT175" s="35"/>
      <c r="AU175" s="35"/>
    </row>
    <row r="176" spans="1:47" s="7" customFormat="1" ht="15.75" customHeight="1" x14ac:dyDescent="0.35">
      <c r="A176" s="13" t="s">
        <v>34</v>
      </c>
      <c r="B176" s="33">
        <v>197622.6</v>
      </c>
      <c r="C176" s="35">
        <f t="shared" si="2"/>
        <v>25688.659</v>
      </c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>
        <v>3</v>
      </c>
      <c r="Q176" s="35">
        <v>1135.6400000000001</v>
      </c>
      <c r="R176" s="35"/>
      <c r="S176" s="35"/>
      <c r="T176" s="35"/>
      <c r="U176" s="35"/>
      <c r="V176" s="35"/>
      <c r="W176" s="35"/>
      <c r="X176" s="35"/>
      <c r="Y176" s="35"/>
      <c r="Z176" s="35">
        <v>2.1</v>
      </c>
      <c r="AA176" s="35">
        <v>666.85</v>
      </c>
      <c r="AB176" s="35"/>
      <c r="AC176" s="35"/>
      <c r="AD176" s="35">
        <v>2</v>
      </c>
      <c r="AE176" s="35">
        <v>1575</v>
      </c>
      <c r="AF176" s="35"/>
      <c r="AG176" s="35"/>
      <c r="AH176" s="35">
        <v>16</v>
      </c>
      <c r="AI176" s="35">
        <f>2869.5+4537.1</f>
        <v>7406.6</v>
      </c>
      <c r="AJ176" s="35">
        <v>6</v>
      </c>
      <c r="AK176" s="35">
        <v>495.91899999999998</v>
      </c>
      <c r="AL176" s="35">
        <v>2</v>
      </c>
      <c r="AM176" s="35">
        <v>11007</v>
      </c>
      <c r="AN176" s="36">
        <v>4</v>
      </c>
      <c r="AO176" s="36">
        <f>432.77+2968.88</f>
        <v>3401.65</v>
      </c>
      <c r="AP176" s="36"/>
      <c r="AQ176" s="35"/>
      <c r="AR176" s="35"/>
      <c r="AS176" s="35"/>
      <c r="AT176" s="35"/>
      <c r="AU176" s="35"/>
    </row>
    <row r="177" spans="1:47" s="7" customFormat="1" ht="15.75" customHeight="1" x14ac:dyDescent="0.35">
      <c r="A177" s="13" t="s">
        <v>35</v>
      </c>
      <c r="B177" s="33">
        <v>137945.16</v>
      </c>
      <c r="C177" s="35">
        <f t="shared" si="2"/>
        <v>11551.859</v>
      </c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>
        <v>8</v>
      </c>
      <c r="Q177" s="35">
        <v>3972.88</v>
      </c>
      <c r="R177" s="35"/>
      <c r="S177" s="35"/>
      <c r="T177" s="35">
        <v>2</v>
      </c>
      <c r="U177" s="35">
        <v>530</v>
      </c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>
        <v>8</v>
      </c>
      <c r="AI177" s="35">
        <v>4160.41</v>
      </c>
      <c r="AJ177" s="35">
        <v>6</v>
      </c>
      <c r="AK177" s="35">
        <v>495.91899999999998</v>
      </c>
      <c r="AL177" s="35"/>
      <c r="AM177" s="35"/>
      <c r="AN177" s="36">
        <v>3</v>
      </c>
      <c r="AO177" s="36">
        <f>432.77+1959.88</f>
        <v>2392.65</v>
      </c>
      <c r="AP177" s="36"/>
      <c r="AQ177" s="35"/>
      <c r="AR177" s="35"/>
      <c r="AS177" s="35"/>
      <c r="AT177" s="35"/>
      <c r="AU177" s="35"/>
    </row>
    <row r="178" spans="1:47" s="7" customFormat="1" ht="15.75" customHeight="1" x14ac:dyDescent="0.35">
      <c r="A178" s="13" t="s">
        <v>36</v>
      </c>
      <c r="B178" s="33">
        <v>18769.560000000001</v>
      </c>
      <c r="C178" s="35">
        <f t="shared" si="2"/>
        <v>7444.6399999999994</v>
      </c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>
        <v>1</v>
      </c>
      <c r="S178" s="35">
        <v>933.65099999999995</v>
      </c>
      <c r="T178" s="35"/>
      <c r="U178" s="35"/>
      <c r="V178" s="35"/>
      <c r="W178" s="35"/>
      <c r="X178" s="35"/>
      <c r="Y178" s="35"/>
      <c r="Z178" s="35">
        <v>4</v>
      </c>
      <c r="AA178" s="35">
        <v>1101.27</v>
      </c>
      <c r="AB178" s="35"/>
      <c r="AC178" s="35"/>
      <c r="AD178" s="35"/>
      <c r="AE178" s="35"/>
      <c r="AF178" s="35"/>
      <c r="AG178" s="35"/>
      <c r="AH178" s="35">
        <v>10</v>
      </c>
      <c r="AI178" s="35">
        <v>4913.8</v>
      </c>
      <c r="AJ178" s="35">
        <v>6</v>
      </c>
      <c r="AK178" s="35">
        <v>495.91899999999998</v>
      </c>
      <c r="AL178" s="35"/>
      <c r="AM178" s="35"/>
      <c r="AN178" s="35"/>
      <c r="AO178" s="35"/>
      <c r="AP178" s="35"/>
      <c r="AQ178" s="35"/>
      <c r="AR178" s="35"/>
      <c r="AS178" s="35"/>
      <c r="AT178" s="35"/>
      <c r="AU178" s="35"/>
    </row>
    <row r="179" spans="1:47" s="7" customFormat="1" ht="15.75" customHeight="1" x14ac:dyDescent="0.35">
      <c r="A179" s="13" t="s">
        <v>37</v>
      </c>
      <c r="B179" s="33">
        <v>116973.72</v>
      </c>
      <c r="C179" s="35">
        <f t="shared" si="2"/>
        <v>80019.41</v>
      </c>
      <c r="D179" s="35"/>
      <c r="E179" s="35"/>
      <c r="F179" s="35"/>
      <c r="G179" s="35"/>
      <c r="H179" s="35"/>
      <c r="I179" s="35"/>
      <c r="J179" s="35">
        <f>64+2+13</f>
        <v>79</v>
      </c>
      <c r="K179" s="35">
        <f>1207.47+40202.88+436.18</f>
        <v>41846.53</v>
      </c>
      <c r="L179" s="35"/>
      <c r="M179" s="35"/>
      <c r="N179" s="35"/>
      <c r="O179" s="35"/>
      <c r="P179" s="35">
        <v>13</v>
      </c>
      <c r="Q179" s="35">
        <v>6189.88</v>
      </c>
      <c r="R179" s="35"/>
      <c r="S179" s="35"/>
      <c r="T179" s="35"/>
      <c r="U179" s="35"/>
      <c r="V179" s="35"/>
      <c r="W179" s="35"/>
      <c r="X179" s="35">
        <v>5.5</v>
      </c>
      <c r="Y179" s="35">
        <f>1711.15+1695.66</f>
        <v>3406.8100000000004</v>
      </c>
      <c r="Z179" s="35"/>
      <c r="AA179" s="35"/>
      <c r="AB179" s="35"/>
      <c r="AC179" s="35"/>
      <c r="AD179" s="35">
        <v>10</v>
      </c>
      <c r="AE179" s="35">
        <v>15677</v>
      </c>
      <c r="AF179" s="35"/>
      <c r="AG179" s="35"/>
      <c r="AH179" s="35"/>
      <c r="AI179" s="35"/>
      <c r="AJ179" s="35">
        <v>55</v>
      </c>
      <c r="AK179" s="35">
        <f>6429.48+2949</f>
        <v>9378.48</v>
      </c>
      <c r="AL179" s="35"/>
      <c r="AM179" s="35"/>
      <c r="AN179" s="36">
        <v>4</v>
      </c>
      <c r="AO179" s="36">
        <f>1128.06+432.77+1959.88</f>
        <v>3520.71</v>
      </c>
      <c r="AP179" s="36"/>
      <c r="AQ179" s="35"/>
      <c r="AR179" s="35"/>
      <c r="AS179" s="35"/>
      <c r="AT179" s="35"/>
      <c r="AU179" s="35"/>
    </row>
    <row r="180" spans="1:47" s="7" customFormat="1" ht="15.75" customHeight="1" x14ac:dyDescent="0.35">
      <c r="A180" s="13" t="s">
        <v>38</v>
      </c>
      <c r="B180" s="33">
        <v>167422.44</v>
      </c>
      <c r="C180" s="35">
        <f t="shared" si="2"/>
        <v>37781.478999999999</v>
      </c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>
        <v>29</v>
      </c>
      <c r="Q180" s="35">
        <v>757.38</v>
      </c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>
        <v>16</v>
      </c>
      <c r="AE180" s="35">
        <v>17306</v>
      </c>
      <c r="AF180" s="35"/>
      <c r="AG180" s="35"/>
      <c r="AH180" s="35">
        <v>18</v>
      </c>
      <c r="AI180" s="35">
        <f>2399.3+3572.34+315</f>
        <v>6286.64</v>
      </c>
      <c r="AJ180" s="35">
        <v>36</v>
      </c>
      <c r="AK180" s="35">
        <f>495.919+1818.38</f>
        <v>2314.299</v>
      </c>
      <c r="AL180" s="35">
        <v>3</v>
      </c>
      <c r="AM180" s="35">
        <v>8288.6</v>
      </c>
      <c r="AN180" s="36">
        <v>3</v>
      </c>
      <c r="AO180" s="36">
        <f>868.68+1959.88</f>
        <v>2828.56</v>
      </c>
      <c r="AP180" s="36"/>
      <c r="AQ180" s="35"/>
      <c r="AR180" s="35"/>
      <c r="AS180" s="35"/>
      <c r="AT180" s="35"/>
      <c r="AU180" s="35"/>
    </row>
    <row r="181" spans="1:47" s="7" customFormat="1" ht="15.75" customHeight="1" x14ac:dyDescent="0.35">
      <c r="A181" s="13" t="s">
        <v>39</v>
      </c>
      <c r="B181" s="33">
        <v>73371.72</v>
      </c>
      <c r="C181" s="35">
        <f t="shared" si="2"/>
        <v>911857.6320000001</v>
      </c>
      <c r="D181" s="35">
        <v>20</v>
      </c>
      <c r="E181" s="35">
        <v>10364</v>
      </c>
      <c r="F181" s="35">
        <v>166</v>
      </c>
      <c r="G181" s="35">
        <v>887462</v>
      </c>
      <c r="H181" s="35"/>
      <c r="I181" s="35"/>
      <c r="J181" s="35">
        <v>3</v>
      </c>
      <c r="K181" s="35">
        <v>475.06</v>
      </c>
      <c r="L181" s="35"/>
      <c r="M181" s="35"/>
      <c r="N181" s="35"/>
      <c r="O181" s="35"/>
      <c r="P181" s="35">
        <v>16</v>
      </c>
      <c r="Q181" s="35">
        <f>4638+4152.42+1069</f>
        <v>9859.42</v>
      </c>
      <c r="R181" s="35">
        <v>1</v>
      </c>
      <c r="S181" s="35">
        <v>366.98</v>
      </c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>
        <v>7</v>
      </c>
      <c r="AK181" s="35">
        <v>578.79</v>
      </c>
      <c r="AL181" s="35">
        <v>3</v>
      </c>
      <c r="AM181" s="35">
        <v>358.73200000000003</v>
      </c>
      <c r="AN181" s="36">
        <v>3</v>
      </c>
      <c r="AO181" s="36">
        <f>432.77+1959.88</f>
        <v>2392.65</v>
      </c>
      <c r="AP181" s="36"/>
      <c r="AQ181" s="35"/>
      <c r="AR181" s="35"/>
      <c r="AS181" s="35"/>
      <c r="AT181" s="35"/>
      <c r="AU181" s="35"/>
    </row>
    <row r="182" spans="1:47" s="7" customFormat="1" ht="15.75" customHeight="1" x14ac:dyDescent="0.35">
      <c r="A182" s="13" t="s">
        <v>40</v>
      </c>
      <c r="B182" s="33">
        <v>366950.16</v>
      </c>
      <c r="C182" s="35">
        <f t="shared" si="2"/>
        <v>105484.72</v>
      </c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>
        <v>3</v>
      </c>
      <c r="Q182" s="35">
        <v>765.63099999999997</v>
      </c>
      <c r="R182" s="35">
        <v>1</v>
      </c>
      <c r="S182" s="35">
        <f>383+5965</f>
        <v>6348</v>
      </c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>
        <f>37+49</f>
        <v>86</v>
      </c>
      <c r="AE182" s="35">
        <f>7023.22+18443.7+5546.01+13368</f>
        <v>44380.93</v>
      </c>
      <c r="AF182" s="35">
        <v>1</v>
      </c>
      <c r="AG182" s="35">
        <v>8960</v>
      </c>
      <c r="AH182" s="35">
        <v>28</v>
      </c>
      <c r="AI182" s="35">
        <f>1597.2+18660+2924.03+3693.71+4053</f>
        <v>30927.94</v>
      </c>
      <c r="AJ182" s="35">
        <v>96</v>
      </c>
      <c r="AK182" s="35">
        <f>7441.53+495.919</f>
        <v>7937.4489999999996</v>
      </c>
      <c r="AL182" s="35"/>
      <c r="AM182" s="35"/>
      <c r="AN182" s="36">
        <v>5</v>
      </c>
      <c r="AO182" s="36">
        <f>432.77+5732</f>
        <v>6164.77</v>
      </c>
      <c r="AP182" s="36"/>
      <c r="AQ182" s="35"/>
      <c r="AR182" s="35"/>
      <c r="AS182" s="35"/>
      <c r="AT182" s="35"/>
      <c r="AU182" s="35"/>
    </row>
    <row r="183" spans="1:47" s="7" customFormat="1" ht="15.75" customHeight="1" x14ac:dyDescent="0.35">
      <c r="A183" s="13" t="s">
        <v>41</v>
      </c>
      <c r="B183" s="33">
        <v>302495.15999999997</v>
      </c>
      <c r="C183" s="35">
        <f t="shared" si="2"/>
        <v>199617.52900000001</v>
      </c>
      <c r="D183" s="35"/>
      <c r="E183" s="35"/>
      <c r="F183" s="35"/>
      <c r="G183" s="35"/>
      <c r="H183" s="35"/>
      <c r="I183" s="35"/>
      <c r="J183" s="35">
        <v>6</v>
      </c>
      <c r="K183" s="35">
        <v>805.19</v>
      </c>
      <c r="L183" s="35">
        <v>220</v>
      </c>
      <c r="M183" s="35">
        <v>128024</v>
      </c>
      <c r="N183" s="35"/>
      <c r="O183" s="35"/>
      <c r="P183" s="35">
        <v>27</v>
      </c>
      <c r="Q183" s="35">
        <v>39898.83</v>
      </c>
      <c r="R183" s="35">
        <v>4</v>
      </c>
      <c r="S183" s="35">
        <f>7720.69+1867.3+5839+1867.3</f>
        <v>17294.29</v>
      </c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>
        <v>7</v>
      </c>
      <c r="AE183" s="35">
        <v>2628.43</v>
      </c>
      <c r="AF183" s="35"/>
      <c r="AG183" s="35"/>
      <c r="AH183" s="35">
        <v>10</v>
      </c>
      <c r="AI183" s="35">
        <f>1882.8+4447.1</f>
        <v>6329.9000000000005</v>
      </c>
      <c r="AJ183" s="35">
        <v>26</v>
      </c>
      <c r="AK183" s="35">
        <f>1748.32+495.919</f>
        <v>2244.239</v>
      </c>
      <c r="AL183" s="35"/>
      <c r="AM183" s="35"/>
      <c r="AN183" s="36">
        <v>3</v>
      </c>
      <c r="AO183" s="36">
        <f>432.77+1959.88</f>
        <v>2392.65</v>
      </c>
      <c r="AP183" s="36"/>
      <c r="AQ183" s="35"/>
      <c r="AR183" s="35"/>
      <c r="AS183" s="35"/>
      <c r="AT183" s="35"/>
      <c r="AU183" s="35"/>
    </row>
    <row r="184" spans="1:47" s="7" customFormat="1" ht="15.75" customHeight="1" x14ac:dyDescent="0.35">
      <c r="A184" s="13" t="s">
        <v>42</v>
      </c>
      <c r="B184" s="33">
        <v>362693.76</v>
      </c>
      <c r="C184" s="35">
        <f t="shared" si="2"/>
        <v>22470.007000000001</v>
      </c>
      <c r="D184" s="35"/>
      <c r="E184" s="35"/>
      <c r="F184" s="35"/>
      <c r="G184" s="35"/>
      <c r="H184" s="35"/>
      <c r="I184" s="35"/>
      <c r="J184" s="35">
        <v>3</v>
      </c>
      <c r="K184" s="35">
        <v>884.95</v>
      </c>
      <c r="L184" s="35"/>
      <c r="M184" s="35"/>
      <c r="N184" s="35"/>
      <c r="O184" s="35"/>
      <c r="P184" s="35">
        <v>24</v>
      </c>
      <c r="Q184" s="35">
        <f>398.04+2594.18</f>
        <v>2992.22</v>
      </c>
      <c r="R184" s="35">
        <v>1</v>
      </c>
      <c r="S184" s="35">
        <v>933.65099999999995</v>
      </c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35">
        <v>18</v>
      </c>
      <c r="AE184" s="35">
        <v>3518.22</v>
      </c>
      <c r="AF184" s="35"/>
      <c r="AG184" s="35"/>
      <c r="AH184" s="35">
        <v>9</v>
      </c>
      <c r="AI184" s="35">
        <v>7854.12</v>
      </c>
      <c r="AJ184" s="35">
        <v>19</v>
      </c>
      <c r="AK184" s="35">
        <f>578.79+991.849</f>
        <v>1570.6390000000001</v>
      </c>
      <c r="AL184" s="35">
        <v>4</v>
      </c>
      <c r="AM184" s="35">
        <v>244.43700000000001</v>
      </c>
      <c r="AN184" s="36">
        <v>2</v>
      </c>
      <c r="AO184" s="36">
        <f>432.77+4039</f>
        <v>4471.7700000000004</v>
      </c>
      <c r="AP184" s="36"/>
      <c r="AQ184" s="35"/>
      <c r="AR184" s="35"/>
      <c r="AS184" s="35"/>
      <c r="AT184" s="35"/>
      <c r="AU184" s="35"/>
    </row>
    <row r="185" spans="1:47" s="7" customFormat="1" ht="15.75" customHeight="1" x14ac:dyDescent="0.35">
      <c r="A185" s="13" t="s">
        <v>43</v>
      </c>
      <c r="B185" s="33">
        <v>167422.44</v>
      </c>
      <c r="C185" s="35">
        <f t="shared" si="2"/>
        <v>52690.522599999997</v>
      </c>
      <c r="D185" s="35"/>
      <c r="E185" s="35"/>
      <c r="F185" s="35"/>
      <c r="G185" s="35"/>
      <c r="H185" s="35"/>
      <c r="I185" s="35"/>
      <c r="J185" s="35">
        <v>3</v>
      </c>
      <c r="K185" s="35">
        <v>475.06</v>
      </c>
      <c r="L185" s="35"/>
      <c r="M185" s="35"/>
      <c r="N185" s="35"/>
      <c r="O185" s="35"/>
      <c r="P185" s="35"/>
      <c r="Q185" s="35">
        <f>1514.19+2877</f>
        <v>4391.1900000000005</v>
      </c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>
        <f>24+19</f>
        <v>43</v>
      </c>
      <c r="AE185" s="35">
        <f>4712.73+909.9216+15106.3+6961.95</f>
        <v>27690.901600000001</v>
      </c>
      <c r="AF185" s="35"/>
      <c r="AG185" s="35"/>
      <c r="AH185" s="35">
        <v>22</v>
      </c>
      <c r="AI185" s="35">
        <f>1591.4+1233.1+1624.92+4070.4</f>
        <v>8519.82</v>
      </c>
      <c r="AJ185" s="35">
        <v>10</v>
      </c>
      <c r="AK185" s="35">
        <f>496.107+661.237</f>
        <v>1157.3440000000001</v>
      </c>
      <c r="AL185" s="35">
        <v>2</v>
      </c>
      <c r="AM185" s="35">
        <v>244.43700000000001</v>
      </c>
      <c r="AN185" s="36">
        <v>2</v>
      </c>
      <c r="AO185" s="36">
        <f>432.77+9779</f>
        <v>10211.77</v>
      </c>
      <c r="AP185" s="36"/>
      <c r="AQ185" s="35"/>
      <c r="AR185" s="35"/>
      <c r="AS185" s="35"/>
      <c r="AT185" s="35"/>
      <c r="AU185" s="35"/>
    </row>
    <row r="186" spans="1:47" s="7" customFormat="1" ht="15.75" customHeight="1" x14ac:dyDescent="0.35">
      <c r="A186" s="13" t="s">
        <v>44</v>
      </c>
      <c r="B186" s="33">
        <v>101358.24</v>
      </c>
      <c r="C186" s="35">
        <f t="shared" si="2"/>
        <v>104827.34899999999</v>
      </c>
      <c r="D186" s="35"/>
      <c r="E186" s="35"/>
      <c r="F186" s="35"/>
      <c r="G186" s="35"/>
      <c r="H186" s="35"/>
      <c r="I186" s="35"/>
      <c r="J186" s="35">
        <f>68+32</f>
        <v>100</v>
      </c>
      <c r="K186" s="35">
        <f>42715.56+15387.74+851.7</f>
        <v>58954.999999999993</v>
      </c>
      <c r="L186" s="35"/>
      <c r="M186" s="35"/>
      <c r="N186" s="35"/>
      <c r="O186" s="35"/>
      <c r="P186" s="35">
        <v>7</v>
      </c>
      <c r="Q186" s="35">
        <f>1219.99+1986</f>
        <v>3205.99</v>
      </c>
      <c r="R186" s="35"/>
      <c r="S186" s="35"/>
      <c r="T186" s="35">
        <v>15</v>
      </c>
      <c r="U186" s="35">
        <v>17797.2</v>
      </c>
      <c r="V186" s="35"/>
      <c r="W186" s="35"/>
      <c r="X186" s="35"/>
      <c r="Y186" s="35"/>
      <c r="Z186" s="35"/>
      <c r="AA186" s="35"/>
      <c r="AB186" s="35"/>
      <c r="AC186" s="35"/>
      <c r="AD186" s="35">
        <f>6+8</f>
        <v>14</v>
      </c>
      <c r="AE186" s="35">
        <f>4737.63+13786.74</f>
        <v>18524.37</v>
      </c>
      <c r="AF186" s="35"/>
      <c r="AG186" s="35"/>
      <c r="AH186" s="35">
        <v>9</v>
      </c>
      <c r="AI186" s="35">
        <v>4537.1000000000004</v>
      </c>
      <c r="AJ186" s="35">
        <v>6</v>
      </c>
      <c r="AK186" s="35">
        <v>495.91899999999998</v>
      </c>
      <c r="AL186" s="35"/>
      <c r="AM186" s="35"/>
      <c r="AN186" s="36">
        <v>2</v>
      </c>
      <c r="AO186" s="36">
        <f>432.77+879</f>
        <v>1311.77</v>
      </c>
      <c r="AP186" s="36"/>
      <c r="AQ186" s="35"/>
      <c r="AR186" s="35"/>
      <c r="AS186" s="35"/>
      <c r="AT186" s="35"/>
      <c r="AU186" s="35"/>
    </row>
    <row r="187" spans="1:47" s="7" customFormat="1" ht="15.75" customHeight="1" x14ac:dyDescent="0.35">
      <c r="A187" s="13" t="s">
        <v>45</v>
      </c>
      <c r="B187" s="33">
        <v>86964.84</v>
      </c>
      <c r="C187" s="35">
        <f t="shared" si="2"/>
        <v>123488.45000000001</v>
      </c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>
        <v>12</v>
      </c>
      <c r="AA187" s="35">
        <v>19540</v>
      </c>
      <c r="AB187" s="35"/>
      <c r="AC187" s="35"/>
      <c r="AD187" s="35">
        <f>22+59</f>
        <v>81</v>
      </c>
      <c r="AE187" s="35">
        <f>12986.6+13084.3+24350.48+5174.3+47920</f>
        <v>103515.68000000001</v>
      </c>
      <c r="AF187" s="35"/>
      <c r="AG187" s="35"/>
      <c r="AH187" s="35"/>
      <c r="AI187" s="35"/>
      <c r="AJ187" s="35"/>
      <c r="AK187" s="35"/>
      <c r="AL187" s="35"/>
      <c r="AM187" s="35"/>
      <c r="AN187" s="36">
        <v>2</v>
      </c>
      <c r="AO187" s="36">
        <v>432.77</v>
      </c>
      <c r="AP187" s="36"/>
      <c r="AQ187" s="35"/>
      <c r="AR187" s="35"/>
      <c r="AS187" s="35"/>
      <c r="AT187" s="35"/>
      <c r="AU187" s="35"/>
    </row>
    <row r="188" spans="1:47" s="7" customFormat="1" ht="15.75" customHeight="1" x14ac:dyDescent="0.35">
      <c r="A188" s="13" t="s">
        <v>46</v>
      </c>
      <c r="B188" s="33">
        <v>96914.04</v>
      </c>
      <c r="C188" s="35">
        <f t="shared" si="2"/>
        <v>68290.73</v>
      </c>
      <c r="D188" s="35">
        <v>12</v>
      </c>
      <c r="E188" s="35">
        <v>6218.54</v>
      </c>
      <c r="F188" s="35"/>
      <c r="G188" s="35"/>
      <c r="H188" s="35"/>
      <c r="I188" s="35"/>
      <c r="J188" s="35">
        <v>5</v>
      </c>
      <c r="K188" s="35">
        <v>548.05999999999995</v>
      </c>
      <c r="L188" s="35"/>
      <c r="M188" s="35"/>
      <c r="N188" s="35"/>
      <c r="O188" s="35"/>
      <c r="P188" s="35">
        <v>1</v>
      </c>
      <c r="Q188" s="35">
        <v>615</v>
      </c>
      <c r="R188" s="35">
        <v>3</v>
      </c>
      <c r="S188" s="35">
        <f>383.03+52396</f>
        <v>52779.03</v>
      </c>
      <c r="T188" s="35">
        <v>4</v>
      </c>
      <c r="U188" s="35">
        <v>2379</v>
      </c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>
        <v>25</v>
      </c>
      <c r="AK188" s="35">
        <v>5318.33</v>
      </c>
      <c r="AL188" s="35"/>
      <c r="AM188" s="35"/>
      <c r="AN188" s="36">
        <v>2</v>
      </c>
      <c r="AO188" s="36">
        <v>432.77</v>
      </c>
      <c r="AP188" s="36"/>
      <c r="AQ188" s="35"/>
      <c r="AR188" s="35"/>
      <c r="AS188" s="35"/>
      <c r="AT188" s="35"/>
      <c r="AU188" s="35"/>
    </row>
    <row r="189" spans="1:47" s="7" customFormat="1" ht="15.75" customHeight="1" x14ac:dyDescent="0.35">
      <c r="A189" s="13" t="s">
        <v>47</v>
      </c>
      <c r="B189" s="33">
        <v>207194.28</v>
      </c>
      <c r="C189" s="35">
        <f t="shared" si="2"/>
        <v>16271.970000000001</v>
      </c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>
        <v>47</v>
      </c>
      <c r="Q189" s="35">
        <f>2098.27+1413.77+990+5959+3812.5</f>
        <v>14273.54</v>
      </c>
      <c r="R189" s="35"/>
      <c r="S189" s="35"/>
      <c r="T189" s="35"/>
      <c r="U189" s="35"/>
      <c r="V189" s="35">
        <v>3</v>
      </c>
      <c r="W189" s="35">
        <v>2099.17</v>
      </c>
      <c r="X189" s="35">
        <v>1.1000000000000001</v>
      </c>
      <c r="Y189" s="35">
        <v>338.66</v>
      </c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6">
        <v>2</v>
      </c>
      <c r="AO189" s="36">
        <f>432.77+1227</f>
        <v>1659.77</v>
      </c>
      <c r="AP189" s="36"/>
      <c r="AQ189" s="35"/>
      <c r="AR189" s="35"/>
      <c r="AS189" s="35"/>
      <c r="AT189" s="35"/>
      <c r="AU189" s="35"/>
    </row>
    <row r="190" spans="1:47" s="7" customFormat="1" ht="15.5" x14ac:dyDescent="0.35">
      <c r="A190" s="13" t="s">
        <v>291</v>
      </c>
      <c r="B190" s="33">
        <v>435265.2</v>
      </c>
      <c r="C190" s="35">
        <f t="shared" si="2"/>
        <v>171561.62599999999</v>
      </c>
      <c r="D190" s="35"/>
      <c r="E190" s="35"/>
      <c r="F190" s="35"/>
      <c r="G190" s="35"/>
      <c r="H190" s="35"/>
      <c r="I190" s="35"/>
      <c r="J190" s="35">
        <f>9+26</f>
        <v>35</v>
      </c>
      <c r="K190" s="35">
        <f>1196.91+7302</f>
        <v>8498.91</v>
      </c>
      <c r="L190" s="35"/>
      <c r="M190" s="35"/>
      <c r="N190" s="35"/>
      <c r="O190" s="35"/>
      <c r="P190" s="35">
        <v>39</v>
      </c>
      <c r="Q190" s="35">
        <f>16334.3+4776.44+993.56</f>
        <v>22104.3</v>
      </c>
      <c r="R190" s="35">
        <v>8</v>
      </c>
      <c r="S190" s="35">
        <f>11898+42861.6+734.22+668</f>
        <v>56161.82</v>
      </c>
      <c r="T190" s="35"/>
      <c r="U190" s="35"/>
      <c r="V190" s="35"/>
      <c r="W190" s="35"/>
      <c r="X190" s="35">
        <v>9</v>
      </c>
      <c r="Y190" s="35">
        <v>3481.35</v>
      </c>
      <c r="Z190" s="35">
        <v>2.1</v>
      </c>
      <c r="AA190" s="35">
        <v>5781.4340000000002</v>
      </c>
      <c r="AB190" s="35"/>
      <c r="AC190" s="35"/>
      <c r="AD190" s="35">
        <v>36</v>
      </c>
      <c r="AE190" s="35">
        <f>2819.48+17866.3+20480.6+6719.39+6788.82</f>
        <v>54674.59</v>
      </c>
      <c r="AF190" s="35"/>
      <c r="AG190" s="35"/>
      <c r="AH190" s="35"/>
      <c r="AI190" s="35"/>
      <c r="AJ190" s="35">
        <v>49</v>
      </c>
      <c r="AK190" s="35">
        <f>842.072+3943.35</f>
        <v>4785.4219999999996</v>
      </c>
      <c r="AL190" s="35">
        <v>13</v>
      </c>
      <c r="AM190" s="35">
        <f>1713.01+5133.24+2545.13+3082.16+1438.38</f>
        <v>13911.920000000002</v>
      </c>
      <c r="AN190" s="36">
        <v>2</v>
      </c>
      <c r="AO190" s="36">
        <f>1081+1080.88</f>
        <v>2161.88</v>
      </c>
      <c r="AP190" s="36"/>
      <c r="AQ190" s="35"/>
      <c r="AR190" s="35"/>
      <c r="AS190" s="35"/>
      <c r="AT190" s="35"/>
      <c r="AU190" s="35"/>
    </row>
    <row r="191" spans="1:47" s="7" customFormat="1" ht="15.75" customHeight="1" x14ac:dyDescent="0.35">
      <c r="A191" s="13" t="s">
        <v>48</v>
      </c>
      <c r="B191" s="33">
        <v>231878.04</v>
      </c>
      <c r="C191" s="35">
        <f t="shared" si="2"/>
        <v>38678.951999999997</v>
      </c>
      <c r="D191" s="35"/>
      <c r="E191" s="35"/>
      <c r="F191" s="35"/>
      <c r="G191" s="35"/>
      <c r="H191" s="35"/>
      <c r="I191" s="35"/>
      <c r="J191" s="35">
        <v>46</v>
      </c>
      <c r="K191" s="35">
        <f>950.12+1892.61</f>
        <v>2842.73</v>
      </c>
      <c r="L191" s="35"/>
      <c r="M191" s="35"/>
      <c r="N191" s="35"/>
      <c r="O191" s="35"/>
      <c r="P191" s="35">
        <v>15</v>
      </c>
      <c r="Q191" s="35">
        <f>382.816+4747.96+3835.28</f>
        <v>8966.0560000000005</v>
      </c>
      <c r="R191" s="35">
        <v>3</v>
      </c>
      <c r="S191" s="35">
        <f>752.946+5341.12</f>
        <v>6094.0659999999998</v>
      </c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>
        <v>8</v>
      </c>
      <c r="AE191" s="35">
        <v>8063.27</v>
      </c>
      <c r="AF191" s="35"/>
      <c r="AG191" s="35"/>
      <c r="AH191" s="35"/>
      <c r="AI191" s="35"/>
      <c r="AJ191" s="35"/>
      <c r="AK191" s="35"/>
      <c r="AL191" s="35">
        <v>2</v>
      </c>
      <c r="AM191" s="35">
        <v>10550.79</v>
      </c>
      <c r="AN191" s="36">
        <v>2</v>
      </c>
      <c r="AO191" s="36">
        <f>1081.16+1080.88</f>
        <v>2162.04</v>
      </c>
      <c r="AP191" s="36"/>
      <c r="AQ191" s="35"/>
      <c r="AR191" s="35"/>
      <c r="AS191" s="35"/>
      <c r="AT191" s="35"/>
      <c r="AU191" s="35"/>
    </row>
    <row r="192" spans="1:47" s="7" customFormat="1" ht="15.75" customHeight="1" x14ac:dyDescent="0.35">
      <c r="A192" s="18" t="s">
        <v>49</v>
      </c>
      <c r="B192" s="34">
        <v>262310.40000000002</v>
      </c>
      <c r="C192" s="35">
        <f t="shared" si="2"/>
        <v>144438.2726</v>
      </c>
      <c r="D192" s="35">
        <f>61+26.5</f>
        <v>87.5</v>
      </c>
      <c r="E192" s="38">
        <f>48562.25+31886</f>
        <v>80448.25</v>
      </c>
      <c r="F192" s="38"/>
      <c r="G192" s="38"/>
      <c r="H192" s="38"/>
      <c r="I192" s="38"/>
      <c r="J192" s="38">
        <v>6</v>
      </c>
      <c r="K192" s="38">
        <v>950.12</v>
      </c>
      <c r="L192" s="38"/>
      <c r="M192" s="38"/>
      <c r="N192" s="38"/>
      <c r="O192" s="38"/>
      <c r="P192" s="38">
        <v>8</v>
      </c>
      <c r="Q192" s="38">
        <v>7087.73</v>
      </c>
      <c r="R192" s="38">
        <v>1</v>
      </c>
      <c r="S192" s="38">
        <v>376.47899999999998</v>
      </c>
      <c r="T192" s="38"/>
      <c r="U192" s="38"/>
      <c r="V192" s="38"/>
      <c r="W192" s="38"/>
      <c r="X192" s="38">
        <v>4</v>
      </c>
      <c r="Y192" s="38">
        <v>1233.0999999999999</v>
      </c>
      <c r="Z192" s="38"/>
      <c r="AA192" s="38"/>
      <c r="AB192" s="38"/>
      <c r="AC192" s="38"/>
      <c r="AD192" s="38">
        <v>4</v>
      </c>
      <c r="AE192" s="38">
        <v>5375.51</v>
      </c>
      <c r="AF192" s="38"/>
      <c r="AG192" s="38"/>
      <c r="AH192" s="38"/>
      <c r="AI192" s="38"/>
      <c r="AJ192" s="38">
        <v>97</v>
      </c>
      <c r="AK192" s="38">
        <f>842.072+3520.11+2263</f>
        <v>6625.1819999999998</v>
      </c>
      <c r="AL192" s="38">
        <v>6</v>
      </c>
      <c r="AM192" s="38">
        <f>57.9616+2339</f>
        <v>2396.9616000000001</v>
      </c>
      <c r="AN192" s="39">
        <v>3</v>
      </c>
      <c r="AO192" s="39">
        <f>1081.16+1080.88</f>
        <v>2162.04</v>
      </c>
      <c r="AP192" s="39"/>
      <c r="AQ192" s="38">
        <v>37782.9</v>
      </c>
      <c r="AR192" s="38"/>
      <c r="AS192" s="38"/>
      <c r="AT192" s="38"/>
      <c r="AU192" s="38"/>
    </row>
    <row r="193" spans="1:47" s="7" customFormat="1" ht="15.75" customHeight="1" x14ac:dyDescent="0.35">
      <c r="A193" s="13" t="s">
        <v>50</v>
      </c>
      <c r="B193" s="33">
        <v>110976.84</v>
      </c>
      <c r="C193" s="35">
        <f t="shared" si="2"/>
        <v>116209.18399999999</v>
      </c>
      <c r="D193" s="35">
        <v>12</v>
      </c>
      <c r="E193" s="35">
        <v>10110.216</v>
      </c>
      <c r="F193" s="35"/>
      <c r="G193" s="35"/>
      <c r="H193" s="35"/>
      <c r="I193" s="35"/>
      <c r="J193" s="35">
        <v>6</v>
      </c>
      <c r="K193" s="35">
        <v>950.12</v>
      </c>
      <c r="L193" s="35"/>
      <c r="M193" s="35"/>
      <c r="N193" s="35"/>
      <c r="O193" s="35"/>
      <c r="P193" s="35">
        <v>2</v>
      </c>
      <c r="Q193" s="35">
        <v>993.08799999999997</v>
      </c>
      <c r="R193" s="35"/>
      <c r="S193" s="35"/>
      <c r="T193" s="35"/>
      <c r="U193" s="35"/>
      <c r="V193" s="35"/>
      <c r="W193" s="35"/>
      <c r="X193" s="35">
        <v>7</v>
      </c>
      <c r="Y193" s="35">
        <v>2158.2199999999998</v>
      </c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>
        <f>25+35</f>
        <v>60</v>
      </c>
      <c r="AK193" s="35">
        <f>3629.09+421.04</f>
        <v>4050.13</v>
      </c>
      <c r="AL193" s="35">
        <v>4</v>
      </c>
      <c r="AM193" s="35">
        <v>2819</v>
      </c>
      <c r="AN193" s="36">
        <v>1</v>
      </c>
      <c r="AO193" s="36">
        <f>1081.16+1080.88</f>
        <v>2162.04</v>
      </c>
      <c r="AP193" s="36"/>
      <c r="AQ193" s="35">
        <f>33504.77+6030.86+53430.74</f>
        <v>92966.37</v>
      </c>
      <c r="AR193" s="35"/>
      <c r="AS193" s="35"/>
      <c r="AT193" s="35"/>
      <c r="AU193" s="35"/>
    </row>
    <row r="194" spans="1:47" s="7" customFormat="1" ht="15.75" customHeight="1" x14ac:dyDescent="0.35">
      <c r="A194" s="13" t="s">
        <v>51</v>
      </c>
      <c r="B194" s="33">
        <v>116048.76</v>
      </c>
      <c r="C194" s="35">
        <f t="shared" si="2"/>
        <v>60940.53</v>
      </c>
      <c r="D194" s="35">
        <v>5</v>
      </c>
      <c r="E194" s="35">
        <v>1104.75</v>
      </c>
      <c r="F194" s="35"/>
      <c r="G194" s="35"/>
      <c r="H194" s="35"/>
      <c r="I194" s="35"/>
      <c r="J194" s="35">
        <v>3</v>
      </c>
      <c r="K194" s="35">
        <v>475.06</v>
      </c>
      <c r="L194" s="35"/>
      <c r="M194" s="35"/>
      <c r="N194" s="35"/>
      <c r="O194" s="35"/>
      <c r="P194" s="35">
        <v>1</v>
      </c>
      <c r="Q194" s="35">
        <v>378.78</v>
      </c>
      <c r="R194" s="35">
        <v>2</v>
      </c>
      <c r="S194" s="35">
        <f>1111.3+466</f>
        <v>1577.3</v>
      </c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>
        <v>15</v>
      </c>
      <c r="AK194" s="35">
        <f>842.07+1398.29</f>
        <v>2240.36</v>
      </c>
      <c r="AL194" s="35"/>
      <c r="AM194" s="35"/>
      <c r="AN194" s="36">
        <v>2</v>
      </c>
      <c r="AO194" s="36">
        <f>1080.88+1081</f>
        <v>2161.88</v>
      </c>
      <c r="AP194" s="36"/>
      <c r="AQ194" s="35">
        <v>53002.400000000001</v>
      </c>
      <c r="AR194" s="35"/>
      <c r="AS194" s="35"/>
      <c r="AT194" s="35"/>
      <c r="AU194" s="35"/>
    </row>
    <row r="195" spans="1:47" s="7" customFormat="1" ht="15.75" customHeight="1" x14ac:dyDescent="0.35">
      <c r="A195" s="13" t="s">
        <v>52</v>
      </c>
      <c r="B195" s="33">
        <v>83752.92</v>
      </c>
      <c r="C195" s="35">
        <f t="shared" si="2"/>
        <v>14318.21</v>
      </c>
      <c r="D195" s="35"/>
      <c r="E195" s="35"/>
      <c r="F195" s="35"/>
      <c r="G195" s="35"/>
      <c r="H195" s="35"/>
      <c r="I195" s="35"/>
      <c r="J195" s="35">
        <v>3</v>
      </c>
      <c r="K195" s="35">
        <v>475.06</v>
      </c>
      <c r="L195" s="35"/>
      <c r="M195" s="35"/>
      <c r="N195" s="35"/>
      <c r="O195" s="35"/>
      <c r="P195" s="35">
        <v>14</v>
      </c>
      <c r="Q195" s="35">
        <v>5823.15</v>
      </c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>
        <v>11</v>
      </c>
      <c r="AE195" s="35">
        <v>5858</v>
      </c>
      <c r="AF195" s="35"/>
      <c r="AG195" s="35"/>
      <c r="AH195" s="35"/>
      <c r="AI195" s="35"/>
      <c r="AJ195" s="35"/>
      <c r="AK195" s="35"/>
      <c r="AL195" s="35"/>
      <c r="AM195" s="35"/>
      <c r="AN195" s="36">
        <v>2</v>
      </c>
      <c r="AO195" s="36">
        <f>1081+1081</f>
        <v>2162</v>
      </c>
      <c r="AP195" s="36"/>
      <c r="AQ195" s="35"/>
      <c r="AR195" s="35"/>
      <c r="AS195" s="35"/>
      <c r="AT195" s="35"/>
      <c r="AU195" s="35"/>
    </row>
    <row r="196" spans="1:47" s="7" customFormat="1" ht="15.75" customHeight="1" x14ac:dyDescent="0.35">
      <c r="A196" s="12" t="s">
        <v>53</v>
      </c>
      <c r="B196" s="33">
        <v>505711.92</v>
      </c>
      <c r="C196" s="35">
        <f t="shared" si="2"/>
        <v>128903.59600000002</v>
      </c>
      <c r="D196" s="35"/>
      <c r="E196" s="35"/>
      <c r="F196" s="35"/>
      <c r="G196" s="35"/>
      <c r="H196" s="35"/>
      <c r="I196" s="35"/>
      <c r="J196" s="35">
        <v>14</v>
      </c>
      <c r="K196" s="35">
        <v>1301.1300000000001</v>
      </c>
      <c r="L196" s="35">
        <v>228</v>
      </c>
      <c r="M196" s="35">
        <v>71178</v>
      </c>
      <c r="N196" s="35"/>
      <c r="O196" s="35"/>
      <c r="P196" s="35">
        <v>13</v>
      </c>
      <c r="Q196" s="35">
        <v>6955.39</v>
      </c>
      <c r="R196" s="35">
        <v>9</v>
      </c>
      <c r="S196" s="35">
        <f>2693.2+13058.1+752.946+367.11+19855.42</f>
        <v>36726.775999999998</v>
      </c>
      <c r="T196" s="35">
        <v>5</v>
      </c>
      <c r="U196" s="35">
        <v>6501.28</v>
      </c>
      <c r="V196" s="35"/>
      <c r="W196" s="35"/>
      <c r="X196" s="35"/>
      <c r="Y196" s="35"/>
      <c r="Z196" s="35"/>
      <c r="AA196" s="35"/>
      <c r="AB196" s="35"/>
      <c r="AC196" s="35"/>
      <c r="AD196" s="35">
        <v>20</v>
      </c>
      <c r="AE196" s="35">
        <v>1255.52</v>
      </c>
      <c r="AF196" s="35"/>
      <c r="AG196" s="35"/>
      <c r="AH196" s="35"/>
      <c r="AI196" s="35"/>
      <c r="AJ196" s="35">
        <v>30</v>
      </c>
      <c r="AK196" s="35">
        <v>3411.38</v>
      </c>
      <c r="AL196" s="35">
        <v>1</v>
      </c>
      <c r="AM196" s="35">
        <v>493.24</v>
      </c>
      <c r="AN196" s="36">
        <v>1</v>
      </c>
      <c r="AO196" s="36">
        <v>1080.8800000000001</v>
      </c>
      <c r="AP196" s="36"/>
      <c r="AQ196" s="35"/>
      <c r="AR196" s="35"/>
      <c r="AS196" s="35"/>
      <c r="AT196" s="35"/>
      <c r="AU196" s="35"/>
    </row>
    <row r="197" spans="1:47" s="7" customFormat="1" ht="15.75" customHeight="1" x14ac:dyDescent="0.35">
      <c r="A197" s="13" t="s">
        <v>54</v>
      </c>
      <c r="B197" s="33">
        <v>51742.8</v>
      </c>
      <c r="C197" s="35">
        <f t="shared" si="2"/>
        <v>10278.742000000002</v>
      </c>
      <c r="D197" s="35"/>
      <c r="E197" s="35"/>
      <c r="F197" s="35"/>
      <c r="G197" s="35"/>
      <c r="H197" s="35"/>
      <c r="I197" s="35"/>
      <c r="J197" s="35">
        <v>9.6</v>
      </c>
      <c r="K197" s="35">
        <v>970.7</v>
      </c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>
        <v>60</v>
      </c>
      <c r="AK197" s="35">
        <f>2632.4+6040.79</f>
        <v>8673.19</v>
      </c>
      <c r="AL197" s="35">
        <v>5</v>
      </c>
      <c r="AM197" s="35">
        <v>634.85199999999998</v>
      </c>
      <c r="AN197" s="36"/>
      <c r="AO197" s="36"/>
      <c r="AP197" s="36"/>
      <c r="AQ197" s="35"/>
      <c r="AR197" s="35"/>
      <c r="AS197" s="35"/>
      <c r="AT197" s="35"/>
      <c r="AU197" s="35"/>
    </row>
    <row r="198" spans="1:47" s="7" customFormat="1" ht="15.75" customHeight="1" x14ac:dyDescent="0.35">
      <c r="A198" s="12" t="s">
        <v>55</v>
      </c>
      <c r="B198" s="33">
        <v>90345.96</v>
      </c>
      <c r="C198" s="35">
        <f t="shared" si="2"/>
        <v>20710.88</v>
      </c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>
        <v>36</v>
      </c>
      <c r="Q198" s="35">
        <v>20258.900000000001</v>
      </c>
      <c r="R198" s="35">
        <v>1</v>
      </c>
      <c r="S198" s="35">
        <v>451.98</v>
      </c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5"/>
      <c r="AN198" s="36"/>
      <c r="AO198" s="36"/>
      <c r="AP198" s="36"/>
      <c r="AQ198" s="35"/>
      <c r="AR198" s="35"/>
      <c r="AS198" s="35"/>
      <c r="AT198" s="35"/>
      <c r="AU198" s="35"/>
    </row>
    <row r="199" spans="1:47" s="7" customFormat="1" ht="15.75" customHeight="1" x14ac:dyDescent="0.35">
      <c r="A199" s="12" t="s">
        <v>56</v>
      </c>
      <c r="B199" s="33">
        <v>276624.96000000002</v>
      </c>
      <c r="C199" s="35">
        <f t="shared" si="2"/>
        <v>123552.31</v>
      </c>
      <c r="D199" s="35">
        <v>7.5</v>
      </c>
      <c r="E199" s="35">
        <v>1350</v>
      </c>
      <c r="F199" s="35"/>
      <c r="G199" s="35"/>
      <c r="H199" s="35"/>
      <c r="I199" s="35"/>
      <c r="J199" s="35">
        <f>7+5+144</f>
        <v>156</v>
      </c>
      <c r="K199" s="35">
        <f>5975.2+90456+767.35</f>
        <v>97198.55</v>
      </c>
      <c r="L199" s="35"/>
      <c r="M199" s="35"/>
      <c r="N199" s="35"/>
      <c r="O199" s="35"/>
      <c r="P199" s="35">
        <v>5</v>
      </c>
      <c r="Q199" s="35">
        <f>849+1926</f>
        <v>2775</v>
      </c>
      <c r="R199" s="35">
        <v>1</v>
      </c>
      <c r="S199" s="35">
        <v>376.48</v>
      </c>
      <c r="T199" s="35"/>
      <c r="U199" s="35"/>
      <c r="V199" s="35">
        <v>1.5</v>
      </c>
      <c r="W199" s="35">
        <v>848.75</v>
      </c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>
        <v>2</v>
      </c>
      <c r="AI199" s="35">
        <v>691.01</v>
      </c>
      <c r="AJ199" s="35"/>
      <c r="AK199" s="35"/>
      <c r="AL199" s="35"/>
      <c r="AM199" s="35"/>
      <c r="AN199" s="36">
        <v>1</v>
      </c>
      <c r="AO199" s="36">
        <v>1080.8800000000001</v>
      </c>
      <c r="AP199" s="36"/>
      <c r="AQ199" s="35">
        <v>20080.39</v>
      </c>
      <c r="AR199" s="35"/>
      <c r="AS199" s="35"/>
      <c r="AT199" s="35"/>
      <c r="AU199" s="35"/>
    </row>
    <row r="200" spans="1:47" s="7" customFormat="1" ht="15.75" customHeight="1" x14ac:dyDescent="0.35">
      <c r="A200" s="12" t="s">
        <v>57</v>
      </c>
      <c r="B200" s="33">
        <v>191673.36</v>
      </c>
      <c r="C200" s="35">
        <f t="shared" si="2"/>
        <v>377822.69</v>
      </c>
      <c r="D200" s="35"/>
      <c r="E200" s="35"/>
      <c r="F200" s="35"/>
      <c r="G200" s="35"/>
      <c r="H200" s="35"/>
      <c r="I200" s="35"/>
      <c r="J200" s="35">
        <v>16</v>
      </c>
      <c r="K200" s="35">
        <f>369364+1232.52</f>
        <v>370596.52</v>
      </c>
      <c r="L200" s="35"/>
      <c r="M200" s="35"/>
      <c r="N200" s="35"/>
      <c r="O200" s="35"/>
      <c r="P200" s="35"/>
      <c r="Q200" s="35"/>
      <c r="R200" s="35">
        <v>1</v>
      </c>
      <c r="S200" s="35">
        <v>367.48</v>
      </c>
      <c r="T200" s="35"/>
      <c r="U200" s="35"/>
      <c r="V200" s="35"/>
      <c r="W200" s="35"/>
      <c r="X200" s="35">
        <v>1.5</v>
      </c>
      <c r="Y200" s="35">
        <v>469.45</v>
      </c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>
        <v>7</v>
      </c>
      <c r="AM200" s="35">
        <v>5261.18</v>
      </c>
      <c r="AN200" s="36">
        <v>1</v>
      </c>
      <c r="AO200" s="36">
        <v>1128.06</v>
      </c>
      <c r="AP200" s="36"/>
      <c r="AQ200" s="35"/>
      <c r="AR200" s="35"/>
      <c r="AS200" s="35"/>
      <c r="AT200" s="35"/>
      <c r="AU200" s="35"/>
    </row>
    <row r="201" spans="1:47" s="7" customFormat="1" ht="15.75" customHeight="1" x14ac:dyDescent="0.35">
      <c r="A201" s="12" t="s">
        <v>58</v>
      </c>
      <c r="B201" s="33">
        <v>107527.2</v>
      </c>
      <c r="C201" s="35">
        <f t="shared" si="2"/>
        <v>262183.83799999999</v>
      </c>
      <c r="D201" s="35"/>
      <c r="E201" s="35"/>
      <c r="F201" s="35">
        <v>40</v>
      </c>
      <c r="G201" s="35">
        <v>118501</v>
      </c>
      <c r="H201" s="35"/>
      <c r="I201" s="35"/>
      <c r="J201" s="35">
        <v>7</v>
      </c>
      <c r="K201" s="35">
        <f>4258.48+1705.97</f>
        <v>5964.45</v>
      </c>
      <c r="L201" s="35"/>
      <c r="M201" s="35"/>
      <c r="N201" s="35"/>
      <c r="O201" s="35"/>
      <c r="P201" s="35">
        <v>7</v>
      </c>
      <c r="Q201" s="35">
        <v>2909</v>
      </c>
      <c r="R201" s="35">
        <v>3</v>
      </c>
      <c r="S201" s="35">
        <f>376.479+13580.43+376.479</f>
        <v>14333.387999999999</v>
      </c>
      <c r="T201" s="35"/>
      <c r="U201" s="35"/>
      <c r="V201" s="35"/>
      <c r="W201" s="35"/>
      <c r="X201" s="35">
        <v>6</v>
      </c>
      <c r="Y201" s="35">
        <v>115956</v>
      </c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35"/>
      <c r="AN201" s="36">
        <v>2</v>
      </c>
      <c r="AO201" s="36">
        <v>4520</v>
      </c>
      <c r="AP201" s="36"/>
      <c r="AQ201" s="35"/>
      <c r="AR201" s="35"/>
      <c r="AS201" s="35"/>
      <c r="AT201" s="35"/>
      <c r="AU201" s="35"/>
    </row>
    <row r="202" spans="1:47" s="7" customFormat="1" ht="15.75" customHeight="1" x14ac:dyDescent="0.35">
      <c r="A202" s="13" t="s">
        <v>59</v>
      </c>
      <c r="B202" s="33">
        <v>357966.72</v>
      </c>
      <c r="C202" s="35">
        <f t="shared" si="2"/>
        <v>65863.28</v>
      </c>
      <c r="D202" s="35">
        <v>24</v>
      </c>
      <c r="E202" s="35">
        <f>801.17+6552.23</f>
        <v>7353.4</v>
      </c>
      <c r="F202" s="35"/>
      <c r="G202" s="35"/>
      <c r="H202" s="35"/>
      <c r="I202" s="35"/>
      <c r="J202" s="35">
        <v>6.5</v>
      </c>
      <c r="K202" s="35">
        <f>587.7+180.59+1679.61</f>
        <v>2447.9</v>
      </c>
      <c r="L202" s="35"/>
      <c r="M202" s="35"/>
      <c r="N202" s="35"/>
      <c r="O202" s="35"/>
      <c r="P202" s="35">
        <v>17</v>
      </c>
      <c r="Q202" s="35">
        <f>6138.51+565</f>
        <v>6703.51</v>
      </c>
      <c r="R202" s="35">
        <v>1</v>
      </c>
      <c r="S202" s="35">
        <f>293.16+376.48</f>
        <v>669.6400000000001</v>
      </c>
      <c r="T202" s="35">
        <v>5</v>
      </c>
      <c r="U202" s="35">
        <v>2973</v>
      </c>
      <c r="V202" s="35"/>
      <c r="W202" s="35"/>
      <c r="X202" s="35">
        <v>9</v>
      </c>
      <c r="Y202" s="35">
        <v>2944</v>
      </c>
      <c r="Z202" s="35"/>
      <c r="AA202" s="35"/>
      <c r="AB202" s="35"/>
      <c r="AC202" s="35"/>
      <c r="AD202" s="35"/>
      <c r="AE202" s="35"/>
      <c r="AF202" s="35"/>
      <c r="AG202" s="35"/>
      <c r="AH202" s="35">
        <v>13</v>
      </c>
      <c r="AI202" s="35">
        <f>409.93+5337.1+4081.83+17145</f>
        <v>26973.86</v>
      </c>
      <c r="AJ202" s="35">
        <v>15</v>
      </c>
      <c r="AK202" s="35">
        <v>2335.41</v>
      </c>
      <c r="AL202" s="35">
        <v>4</v>
      </c>
      <c r="AM202" s="35">
        <v>9540</v>
      </c>
      <c r="AN202" s="36">
        <v>2</v>
      </c>
      <c r="AO202" s="36">
        <v>3922.56</v>
      </c>
      <c r="AP202" s="36"/>
      <c r="AQ202" s="35"/>
      <c r="AR202" s="35"/>
      <c r="AS202" s="35"/>
      <c r="AT202" s="35"/>
      <c r="AU202" s="35"/>
    </row>
    <row r="203" spans="1:47" s="7" customFormat="1" ht="15.75" customHeight="1" x14ac:dyDescent="0.35">
      <c r="A203" s="13" t="s">
        <v>60</v>
      </c>
      <c r="B203" s="33">
        <v>84717.36</v>
      </c>
      <c r="C203" s="35">
        <f t="shared" si="2"/>
        <v>73917.549999999988</v>
      </c>
      <c r="D203" s="35"/>
      <c r="E203" s="35"/>
      <c r="F203" s="35"/>
      <c r="G203" s="35"/>
      <c r="H203" s="35"/>
      <c r="I203" s="35"/>
      <c r="J203" s="35">
        <v>60</v>
      </c>
      <c r="K203" s="35">
        <v>49986.63</v>
      </c>
      <c r="L203" s="35"/>
      <c r="M203" s="35"/>
      <c r="N203" s="35"/>
      <c r="O203" s="35"/>
      <c r="P203" s="35">
        <v>3</v>
      </c>
      <c r="Q203" s="35">
        <v>1277</v>
      </c>
      <c r="R203" s="35">
        <v>2</v>
      </c>
      <c r="S203" s="35">
        <v>383.03</v>
      </c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>
        <v>50</v>
      </c>
      <c r="AK203" s="35">
        <v>5233.74</v>
      </c>
      <c r="AL203" s="35">
        <v>5</v>
      </c>
      <c r="AM203" s="35">
        <f>3056.15+13981</f>
        <v>17037.150000000001</v>
      </c>
      <c r="AN203" s="36"/>
      <c r="AO203" s="36"/>
      <c r="AP203" s="36"/>
      <c r="AQ203" s="35"/>
      <c r="AR203" s="35"/>
      <c r="AS203" s="35"/>
      <c r="AT203" s="35"/>
      <c r="AU203" s="35"/>
    </row>
    <row r="204" spans="1:47" s="7" customFormat="1" ht="15.75" customHeight="1" x14ac:dyDescent="0.35">
      <c r="A204" s="13" t="s">
        <v>61</v>
      </c>
      <c r="B204" s="33">
        <v>217966.32</v>
      </c>
      <c r="C204" s="35">
        <f t="shared" si="2"/>
        <v>38517.528000000006</v>
      </c>
      <c r="D204" s="35"/>
      <c r="E204" s="35"/>
      <c r="F204" s="35"/>
      <c r="G204" s="35"/>
      <c r="H204" s="35"/>
      <c r="I204" s="35"/>
      <c r="J204" s="35">
        <v>8</v>
      </c>
      <c r="K204" s="35">
        <f>700.35+1679.61</f>
        <v>2379.96</v>
      </c>
      <c r="L204" s="35"/>
      <c r="M204" s="35"/>
      <c r="N204" s="35"/>
      <c r="O204" s="35"/>
      <c r="P204" s="35">
        <v>24</v>
      </c>
      <c r="Q204" s="35">
        <f>5886.85+1265.66+6997.54</f>
        <v>14150.05</v>
      </c>
      <c r="R204" s="35">
        <v>1</v>
      </c>
      <c r="S204" s="35">
        <v>1039.6980000000001</v>
      </c>
      <c r="T204" s="35">
        <v>6</v>
      </c>
      <c r="U204" s="35">
        <f>5373.34+1189</f>
        <v>6562.34</v>
      </c>
      <c r="V204" s="35"/>
      <c r="W204" s="35"/>
      <c r="X204" s="35">
        <v>3</v>
      </c>
      <c r="Y204" s="35">
        <v>938.89</v>
      </c>
      <c r="Z204" s="35"/>
      <c r="AA204" s="35"/>
      <c r="AB204" s="35"/>
      <c r="AC204" s="35"/>
      <c r="AD204" s="35"/>
      <c r="AE204" s="35"/>
      <c r="AF204" s="35"/>
      <c r="AG204" s="35"/>
      <c r="AH204" s="35">
        <v>4</v>
      </c>
      <c r="AI204" s="35">
        <v>4554.99</v>
      </c>
      <c r="AJ204" s="35">
        <v>83</v>
      </c>
      <c r="AK204" s="35">
        <v>3223.76</v>
      </c>
      <c r="AL204" s="35">
        <v>2</v>
      </c>
      <c r="AM204" s="35">
        <f>606.84+5061</f>
        <v>5667.84</v>
      </c>
      <c r="AN204" s="36"/>
      <c r="AO204" s="36"/>
      <c r="AP204" s="36"/>
      <c r="AQ204" s="35"/>
      <c r="AR204" s="35"/>
      <c r="AS204" s="35"/>
      <c r="AT204" s="35"/>
      <c r="AU204" s="35"/>
    </row>
    <row r="205" spans="1:47" s="7" customFormat="1" ht="15.75" customHeight="1" x14ac:dyDescent="0.35">
      <c r="A205" s="13" t="s">
        <v>62</v>
      </c>
      <c r="B205" s="33">
        <v>24353.52</v>
      </c>
      <c r="C205" s="35">
        <f t="shared" ref="C205:C268" si="3">E205+G205+K205+M205+O205+Q205+S205+U205+Y205+AA205+AC205+AE205+AG205+AI205+AK205+AM205+AO205+AQ205+AS205+AU205+I205</f>
        <v>0</v>
      </c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35"/>
      <c r="AM205" s="35"/>
      <c r="AN205" s="36"/>
      <c r="AO205" s="36"/>
      <c r="AP205" s="36"/>
      <c r="AQ205" s="35"/>
      <c r="AR205" s="35"/>
      <c r="AS205" s="35"/>
      <c r="AT205" s="35"/>
      <c r="AU205" s="35"/>
    </row>
    <row r="206" spans="1:47" s="7" customFormat="1" ht="15.75" customHeight="1" x14ac:dyDescent="0.35">
      <c r="A206" s="13" t="s">
        <v>63</v>
      </c>
      <c r="B206" s="33">
        <v>151395.96</v>
      </c>
      <c r="C206" s="35">
        <f t="shared" si="3"/>
        <v>85197.441999999995</v>
      </c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>
        <v>1</v>
      </c>
      <c r="Q206" s="35">
        <f>2351.97+565.255</f>
        <v>2917.2249999999999</v>
      </c>
      <c r="R206" s="35">
        <v>3</v>
      </c>
      <c r="S206" s="35">
        <f>740.839+273.74</f>
        <v>1014.5790000000001</v>
      </c>
      <c r="T206" s="35">
        <v>4</v>
      </c>
      <c r="U206" s="35">
        <v>17994.7</v>
      </c>
      <c r="V206" s="35">
        <v>4</v>
      </c>
      <c r="W206" s="35">
        <v>5387.02</v>
      </c>
      <c r="X206" s="35"/>
      <c r="Y206" s="35"/>
      <c r="Z206" s="35">
        <v>1.8</v>
      </c>
      <c r="AA206" s="35">
        <v>5034</v>
      </c>
      <c r="AB206" s="35"/>
      <c r="AC206" s="35"/>
      <c r="AD206" s="35">
        <v>42</v>
      </c>
      <c r="AE206" s="35">
        <f>3730+8065.9+8927.87+2469.858+6367.28</f>
        <v>29560.907999999999</v>
      </c>
      <c r="AF206" s="35">
        <v>2</v>
      </c>
      <c r="AG206" s="35">
        <v>6212.91</v>
      </c>
      <c r="AH206" s="35">
        <v>7</v>
      </c>
      <c r="AI206" s="35">
        <f>822.05+3628.39+933.38</f>
        <v>5383.82</v>
      </c>
      <c r="AJ206" s="35">
        <v>200</v>
      </c>
      <c r="AK206" s="35">
        <v>16530.599999999999</v>
      </c>
      <c r="AL206" s="35">
        <v>1</v>
      </c>
      <c r="AM206" s="35">
        <v>548.70000000000005</v>
      </c>
      <c r="AN206" s="36"/>
      <c r="AO206" s="36"/>
      <c r="AP206" s="36"/>
      <c r="AQ206" s="35"/>
      <c r="AR206" s="35"/>
      <c r="AS206" s="35"/>
      <c r="AT206" s="35"/>
      <c r="AU206" s="35"/>
    </row>
    <row r="207" spans="1:47" s="7" customFormat="1" ht="15.75" customHeight="1" x14ac:dyDescent="0.35">
      <c r="A207" s="13" t="s">
        <v>64</v>
      </c>
      <c r="B207" s="33">
        <v>224340.12</v>
      </c>
      <c r="C207" s="35">
        <f t="shared" si="3"/>
        <v>73598.384999999995</v>
      </c>
      <c r="D207" s="35"/>
      <c r="E207" s="35"/>
      <c r="F207" s="35"/>
      <c r="G207" s="35"/>
      <c r="H207" s="35"/>
      <c r="I207" s="35"/>
      <c r="J207" s="35">
        <v>5</v>
      </c>
      <c r="K207" s="35">
        <v>625.25</v>
      </c>
      <c r="L207" s="35"/>
      <c r="M207" s="35"/>
      <c r="N207" s="35"/>
      <c r="O207" s="35"/>
      <c r="P207" s="35">
        <v>4</v>
      </c>
      <c r="Q207" s="35">
        <f>114.9+565.255</f>
        <v>680.15499999999997</v>
      </c>
      <c r="R207" s="35">
        <v>3</v>
      </c>
      <c r="S207" s="35">
        <f>638.09+367.11</f>
        <v>1005.2</v>
      </c>
      <c r="T207" s="35">
        <v>1</v>
      </c>
      <c r="U207" s="35">
        <v>1189</v>
      </c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>
        <v>14</v>
      </c>
      <c r="AM207" s="35">
        <v>1483.26</v>
      </c>
      <c r="AN207" s="36">
        <v>5</v>
      </c>
      <c r="AO207" s="36">
        <v>4324.7</v>
      </c>
      <c r="AP207" s="36"/>
      <c r="AQ207" s="35">
        <v>41863.82</v>
      </c>
      <c r="AR207" s="35"/>
      <c r="AS207" s="35"/>
      <c r="AT207" s="35"/>
      <c r="AU207" s="35">
        <v>22427</v>
      </c>
    </row>
    <row r="208" spans="1:47" s="7" customFormat="1" ht="15.75" customHeight="1" x14ac:dyDescent="0.35">
      <c r="A208" s="13" t="s">
        <v>65</v>
      </c>
      <c r="B208" s="33">
        <v>471188.76</v>
      </c>
      <c r="C208" s="35">
        <f t="shared" si="3"/>
        <v>313290.08900000004</v>
      </c>
      <c r="D208" s="35"/>
      <c r="E208" s="35"/>
      <c r="F208" s="35"/>
      <c r="G208" s="35"/>
      <c r="H208" s="35"/>
      <c r="I208" s="35"/>
      <c r="J208" s="35"/>
      <c r="K208" s="35"/>
      <c r="L208" s="35">
        <v>1779</v>
      </c>
      <c r="M208" s="35">
        <v>184842</v>
      </c>
      <c r="N208" s="35"/>
      <c r="O208" s="35"/>
      <c r="P208" s="35">
        <v>25</v>
      </c>
      <c r="Q208" s="35">
        <f>376.73+9159.46+25345.24</f>
        <v>34881.43</v>
      </c>
      <c r="R208" s="35">
        <v>8</v>
      </c>
      <c r="S208" s="35">
        <f>1796.63+376.48+472.9+1787.56+367.11+1867.94</f>
        <v>6668.619999999999</v>
      </c>
      <c r="T208" s="35">
        <v>64</v>
      </c>
      <c r="U208" s="35">
        <f>3039.44+13669.1</f>
        <v>16708.54</v>
      </c>
      <c r="V208" s="35"/>
      <c r="W208" s="35"/>
      <c r="X208" s="35">
        <v>4.5</v>
      </c>
      <c r="Y208" s="35">
        <v>4818.66</v>
      </c>
      <c r="Z208" s="35"/>
      <c r="AA208" s="35"/>
      <c r="AB208" s="35"/>
      <c r="AC208" s="35"/>
      <c r="AD208" s="35">
        <v>17</v>
      </c>
      <c r="AE208" s="35">
        <f>611.429+24320</f>
        <v>24931.429</v>
      </c>
      <c r="AF208" s="35"/>
      <c r="AG208" s="35"/>
      <c r="AH208" s="35">
        <v>7</v>
      </c>
      <c r="AI208" s="35">
        <f>2905.71+10879</f>
        <v>13784.71</v>
      </c>
      <c r="AJ208" s="35">
        <v>25</v>
      </c>
      <c r="AK208" s="35">
        <v>3794.3</v>
      </c>
      <c r="AL208" s="35">
        <v>41</v>
      </c>
      <c r="AM208" s="35">
        <v>13204.4</v>
      </c>
      <c r="AN208" s="36">
        <v>6</v>
      </c>
      <c r="AO208" s="36">
        <v>9656</v>
      </c>
      <c r="AP208" s="36"/>
      <c r="AQ208" s="35"/>
      <c r="AR208" s="35"/>
      <c r="AS208" s="35"/>
      <c r="AT208" s="35"/>
      <c r="AU208" s="35"/>
    </row>
    <row r="209" spans="1:47" s="7" customFormat="1" ht="15.75" customHeight="1" x14ac:dyDescent="0.35">
      <c r="A209" s="13" t="s">
        <v>66</v>
      </c>
      <c r="B209" s="33">
        <v>369161.4</v>
      </c>
      <c r="C209" s="35">
        <f t="shared" si="3"/>
        <v>203321.17999999996</v>
      </c>
      <c r="D209" s="35">
        <v>82</v>
      </c>
      <c r="E209" s="35">
        <v>30521</v>
      </c>
      <c r="F209" s="35"/>
      <c r="G209" s="35"/>
      <c r="H209" s="35"/>
      <c r="I209" s="35"/>
      <c r="J209" s="35">
        <f>78+8+8</f>
        <v>94</v>
      </c>
      <c r="K209" s="35">
        <f>600.77+1440.49+48997</f>
        <v>51038.26</v>
      </c>
      <c r="L209" s="35"/>
      <c r="M209" s="35"/>
      <c r="N209" s="35"/>
      <c r="O209" s="35"/>
      <c r="P209" s="35">
        <v>12</v>
      </c>
      <c r="Q209" s="35">
        <f>3242.89+1839.37+1925.89</f>
        <v>7008.1500000000005</v>
      </c>
      <c r="R209" s="35">
        <v>2</v>
      </c>
      <c r="S209" s="35">
        <v>376.48</v>
      </c>
      <c r="T209" s="35">
        <v>29</v>
      </c>
      <c r="U209" s="35">
        <v>66023.399999999994</v>
      </c>
      <c r="V209" s="35"/>
      <c r="W209" s="35"/>
      <c r="X209" s="35"/>
      <c r="Y209" s="35"/>
      <c r="Z209" s="35"/>
      <c r="AA209" s="35"/>
      <c r="AB209" s="35"/>
      <c r="AC209" s="35"/>
      <c r="AD209" s="35">
        <v>30</v>
      </c>
      <c r="AE209" s="35">
        <v>17687</v>
      </c>
      <c r="AF209" s="35"/>
      <c r="AG209" s="35"/>
      <c r="AH209" s="35">
        <v>4</v>
      </c>
      <c r="AI209" s="35">
        <f>410+3983</f>
        <v>4393</v>
      </c>
      <c r="AJ209" s="35">
        <f>68+7+60</f>
        <v>135</v>
      </c>
      <c r="AK209" s="35">
        <f>6565.9+7886.71</f>
        <v>14452.61</v>
      </c>
      <c r="AL209" s="35">
        <v>12</v>
      </c>
      <c r="AM209" s="35">
        <f>4506.37+7314.91</f>
        <v>11821.279999999999</v>
      </c>
      <c r="AN209" s="36"/>
      <c r="AO209" s="36"/>
      <c r="AP209" s="36"/>
      <c r="AQ209" s="35"/>
      <c r="AR209" s="35"/>
      <c r="AS209" s="35"/>
      <c r="AT209" s="35"/>
      <c r="AU209" s="35"/>
    </row>
    <row r="210" spans="1:47" s="7" customFormat="1" ht="15.75" customHeight="1" x14ac:dyDescent="0.35">
      <c r="A210" s="13" t="s">
        <v>67</v>
      </c>
      <c r="B210" s="33">
        <v>322899.84000000003</v>
      </c>
      <c r="C210" s="35">
        <f t="shared" si="3"/>
        <v>149717.467</v>
      </c>
      <c r="D210" s="35">
        <v>3</v>
      </c>
      <c r="E210" s="35">
        <v>2228.56</v>
      </c>
      <c r="F210" s="35"/>
      <c r="G210" s="35"/>
      <c r="H210" s="35"/>
      <c r="I210" s="35"/>
      <c r="J210" s="35">
        <v>16</v>
      </c>
      <c r="K210" s="35">
        <v>1451.32</v>
      </c>
      <c r="L210" s="35"/>
      <c r="M210" s="35"/>
      <c r="N210" s="35"/>
      <c r="O210" s="35"/>
      <c r="P210" s="35">
        <v>17</v>
      </c>
      <c r="Q210" s="35">
        <f>2295.31+4488.95</f>
        <v>6784.26</v>
      </c>
      <c r="R210" s="35">
        <v>4</v>
      </c>
      <c r="S210" s="35">
        <v>1532.1</v>
      </c>
      <c r="T210" s="35">
        <v>10</v>
      </c>
      <c r="U210" s="35">
        <f>8521.39+20442.4</f>
        <v>28963.79</v>
      </c>
      <c r="V210" s="35"/>
      <c r="W210" s="35"/>
      <c r="X210" s="35"/>
      <c r="Y210" s="35"/>
      <c r="Z210" s="35"/>
      <c r="AA210" s="35"/>
      <c r="AB210" s="35"/>
      <c r="AC210" s="35"/>
      <c r="AD210" s="35">
        <v>6</v>
      </c>
      <c r="AE210" s="35">
        <f>5611.67+928.117+4796.92</f>
        <v>11336.707</v>
      </c>
      <c r="AF210" s="35">
        <v>2</v>
      </c>
      <c r="AG210" s="35">
        <v>60114.9</v>
      </c>
      <c r="AH210" s="35">
        <v>5</v>
      </c>
      <c r="AI210" s="35">
        <f>1729.59+691.48</f>
        <v>2421.0699999999997</v>
      </c>
      <c r="AJ210" s="35">
        <v>170</v>
      </c>
      <c r="AK210" s="35">
        <v>19333.8</v>
      </c>
      <c r="AL210" s="35">
        <v>7</v>
      </c>
      <c r="AM210" s="35">
        <f>2870.76+5777</f>
        <v>8647.76</v>
      </c>
      <c r="AN210" s="36">
        <v>8</v>
      </c>
      <c r="AO210" s="36">
        <f>1931.2+4972</f>
        <v>6903.2</v>
      </c>
      <c r="AP210" s="36"/>
      <c r="AQ210" s="35"/>
      <c r="AR210" s="35"/>
      <c r="AS210" s="35"/>
      <c r="AT210" s="35"/>
      <c r="AU210" s="35"/>
    </row>
    <row r="211" spans="1:47" s="7" customFormat="1" ht="15.75" customHeight="1" x14ac:dyDescent="0.35">
      <c r="A211" s="13" t="s">
        <v>68</v>
      </c>
      <c r="B211" s="33">
        <v>74359.44</v>
      </c>
      <c r="C211" s="35">
        <f t="shared" si="3"/>
        <v>0</v>
      </c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/>
      <c r="AL211" s="35"/>
      <c r="AM211" s="35"/>
      <c r="AN211" s="36"/>
      <c r="AO211" s="36"/>
      <c r="AP211" s="36"/>
      <c r="AQ211" s="35"/>
      <c r="AR211" s="35"/>
      <c r="AS211" s="35"/>
      <c r="AT211" s="35"/>
      <c r="AU211" s="35"/>
    </row>
    <row r="212" spans="1:47" s="7" customFormat="1" ht="15.75" customHeight="1" x14ac:dyDescent="0.35">
      <c r="A212" s="13" t="s">
        <v>69</v>
      </c>
      <c r="B212" s="33">
        <v>126380.4</v>
      </c>
      <c r="C212" s="35">
        <f t="shared" si="3"/>
        <v>33460.739999999991</v>
      </c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>
        <v>38</v>
      </c>
      <c r="Q212" s="35">
        <f>17304.1+4518.89</f>
        <v>21822.989999999998</v>
      </c>
      <c r="R212" s="35">
        <v>2</v>
      </c>
      <c r="S212" s="35">
        <f>5844.12+376.48</f>
        <v>6220.6</v>
      </c>
      <c r="T212" s="35"/>
      <c r="U212" s="35"/>
      <c r="V212" s="35"/>
      <c r="W212" s="35"/>
      <c r="X212" s="35">
        <v>2</v>
      </c>
      <c r="Y212" s="35">
        <v>1131.67</v>
      </c>
      <c r="Z212" s="35"/>
      <c r="AA212" s="35"/>
      <c r="AB212" s="35"/>
      <c r="AC212" s="35"/>
      <c r="AD212" s="35"/>
      <c r="AE212" s="35"/>
      <c r="AF212" s="35"/>
      <c r="AG212" s="35"/>
      <c r="AH212" s="35"/>
      <c r="AI212" s="35"/>
      <c r="AJ212" s="35"/>
      <c r="AK212" s="35"/>
      <c r="AL212" s="35">
        <v>1</v>
      </c>
      <c r="AM212" s="35">
        <v>509.03</v>
      </c>
      <c r="AN212" s="36">
        <v>2</v>
      </c>
      <c r="AO212" s="36">
        <v>3776.45</v>
      </c>
      <c r="AP212" s="36"/>
      <c r="AQ212" s="35"/>
      <c r="AR212" s="35"/>
      <c r="AS212" s="35"/>
      <c r="AT212" s="35"/>
      <c r="AU212" s="35"/>
    </row>
    <row r="213" spans="1:47" s="7" customFormat="1" ht="15.75" customHeight="1" x14ac:dyDescent="0.35">
      <c r="A213" s="13" t="s">
        <v>70</v>
      </c>
      <c r="B213" s="33">
        <v>98946.6</v>
      </c>
      <c r="C213" s="35">
        <f t="shared" si="3"/>
        <v>6908.86</v>
      </c>
      <c r="D213" s="35"/>
      <c r="E213" s="35"/>
      <c r="F213" s="35"/>
      <c r="G213" s="35"/>
      <c r="H213" s="35"/>
      <c r="I213" s="35"/>
      <c r="J213" s="35">
        <v>7</v>
      </c>
      <c r="K213" s="35">
        <v>525.67999999999995</v>
      </c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  <c r="AD213" s="35">
        <v>10</v>
      </c>
      <c r="AE213" s="35">
        <v>4796.92</v>
      </c>
      <c r="AF213" s="35"/>
      <c r="AG213" s="35"/>
      <c r="AH213" s="35">
        <v>2</v>
      </c>
      <c r="AI213" s="35">
        <v>691.48</v>
      </c>
      <c r="AJ213" s="35"/>
      <c r="AK213" s="35"/>
      <c r="AL213" s="35">
        <v>1</v>
      </c>
      <c r="AM213" s="35">
        <v>894.78</v>
      </c>
      <c r="AN213" s="36"/>
      <c r="AO213" s="36"/>
      <c r="AP213" s="36"/>
      <c r="AQ213" s="35"/>
      <c r="AR213" s="35"/>
      <c r="AS213" s="35"/>
      <c r="AT213" s="35"/>
      <c r="AU213" s="35"/>
    </row>
    <row r="214" spans="1:47" s="7" customFormat="1" ht="15.75" customHeight="1" x14ac:dyDescent="0.35">
      <c r="A214" s="13" t="s">
        <v>71</v>
      </c>
      <c r="B214" s="33">
        <v>76962.720000000001</v>
      </c>
      <c r="C214" s="35">
        <f t="shared" si="3"/>
        <v>15217.119999999999</v>
      </c>
      <c r="D214" s="35"/>
      <c r="E214" s="35"/>
      <c r="F214" s="35"/>
      <c r="G214" s="35"/>
      <c r="H214" s="35"/>
      <c r="I214" s="35"/>
      <c r="J214" s="35">
        <v>3</v>
      </c>
      <c r="K214" s="35">
        <v>225.3</v>
      </c>
      <c r="L214" s="35"/>
      <c r="M214" s="35"/>
      <c r="N214" s="35"/>
      <c r="O214" s="35"/>
      <c r="P214" s="35"/>
      <c r="Q214" s="35"/>
      <c r="R214" s="35"/>
      <c r="S214" s="35"/>
      <c r="T214" s="35">
        <v>17</v>
      </c>
      <c r="U214" s="35">
        <f>5834.77+3181</f>
        <v>9015.77</v>
      </c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>
        <v>50</v>
      </c>
      <c r="AK214" s="35">
        <v>5976.05</v>
      </c>
      <c r="AL214" s="35"/>
      <c r="AM214" s="35"/>
      <c r="AN214" s="36"/>
      <c r="AO214" s="36"/>
      <c r="AP214" s="36"/>
      <c r="AQ214" s="35"/>
      <c r="AR214" s="35"/>
      <c r="AS214" s="35"/>
      <c r="AT214" s="35"/>
      <c r="AU214" s="35"/>
    </row>
    <row r="215" spans="1:47" s="7" customFormat="1" ht="15.75" customHeight="1" x14ac:dyDescent="0.35">
      <c r="A215" s="13" t="s">
        <v>72</v>
      </c>
      <c r="B215" s="33">
        <v>99974.52</v>
      </c>
      <c r="C215" s="35">
        <f t="shared" si="3"/>
        <v>66136.930000000008</v>
      </c>
      <c r="D215" s="35"/>
      <c r="E215" s="35"/>
      <c r="F215" s="35"/>
      <c r="G215" s="35"/>
      <c r="H215" s="35"/>
      <c r="I215" s="35"/>
      <c r="J215" s="35">
        <v>78</v>
      </c>
      <c r="K215" s="35">
        <v>48997</v>
      </c>
      <c r="L215" s="35"/>
      <c r="M215" s="35"/>
      <c r="N215" s="35"/>
      <c r="O215" s="35"/>
      <c r="P215" s="35">
        <v>3</v>
      </c>
      <c r="Q215" s="35">
        <v>1934.76</v>
      </c>
      <c r="R215" s="35">
        <v>1</v>
      </c>
      <c r="S215" s="35">
        <f>57.48+319</f>
        <v>376.48</v>
      </c>
      <c r="T215" s="35"/>
      <c r="U215" s="35"/>
      <c r="V215" s="35"/>
      <c r="W215" s="35"/>
      <c r="X215" s="35"/>
      <c r="Y215" s="35"/>
      <c r="Z215" s="35"/>
      <c r="AA215" s="35"/>
      <c r="AB215" s="35"/>
      <c r="AC215" s="35"/>
      <c r="AD215" s="35">
        <v>12</v>
      </c>
      <c r="AE215" s="35">
        <v>6879.02</v>
      </c>
      <c r="AF215" s="35"/>
      <c r="AG215" s="35"/>
      <c r="AH215" s="35">
        <v>4</v>
      </c>
      <c r="AI215" s="35">
        <v>1383.67</v>
      </c>
      <c r="AJ215" s="35">
        <v>10</v>
      </c>
      <c r="AK215" s="35">
        <v>6566</v>
      </c>
      <c r="AL215" s="35"/>
      <c r="AM215" s="35"/>
      <c r="AN215" s="36"/>
      <c r="AO215" s="36"/>
      <c r="AP215" s="36"/>
      <c r="AQ215" s="35"/>
      <c r="AR215" s="35"/>
      <c r="AS215" s="35"/>
      <c r="AT215" s="35"/>
      <c r="AU215" s="35"/>
    </row>
    <row r="216" spans="1:47" s="7" customFormat="1" ht="15.75" customHeight="1" x14ac:dyDescent="0.35">
      <c r="A216" s="13" t="s">
        <v>73</v>
      </c>
      <c r="B216" s="33">
        <v>193824.6</v>
      </c>
      <c r="C216" s="35">
        <f t="shared" si="3"/>
        <v>185454.89600000001</v>
      </c>
      <c r="D216" s="35"/>
      <c r="E216" s="35"/>
      <c r="F216" s="35"/>
      <c r="G216" s="35"/>
      <c r="H216" s="35"/>
      <c r="I216" s="35"/>
      <c r="J216" s="35">
        <v>15.5</v>
      </c>
      <c r="K216" s="35">
        <v>1413.77</v>
      </c>
      <c r="L216" s="35"/>
      <c r="M216" s="35"/>
      <c r="N216" s="35"/>
      <c r="O216" s="35"/>
      <c r="P216" s="35">
        <v>5</v>
      </c>
      <c r="Q216" s="35">
        <v>3207.77</v>
      </c>
      <c r="R216" s="35">
        <v>2</v>
      </c>
      <c r="S216" s="35">
        <v>912.45</v>
      </c>
      <c r="T216" s="35">
        <v>15</v>
      </c>
      <c r="U216" s="35">
        <f>11724.3+5213.57</f>
        <v>16937.87</v>
      </c>
      <c r="V216" s="35"/>
      <c r="W216" s="35"/>
      <c r="X216" s="35">
        <v>2</v>
      </c>
      <c r="Y216" s="35">
        <v>783.06</v>
      </c>
      <c r="Z216" s="35"/>
      <c r="AA216" s="35"/>
      <c r="AB216" s="35"/>
      <c r="AC216" s="35"/>
      <c r="AD216" s="35">
        <f>6.5+18</f>
        <v>24.5</v>
      </c>
      <c r="AE216" s="35">
        <f>3491.29+5038.91+5383</f>
        <v>13913.2</v>
      </c>
      <c r="AF216" s="35"/>
      <c r="AG216" s="35"/>
      <c r="AH216" s="35">
        <v>2</v>
      </c>
      <c r="AI216" s="35">
        <v>170.15600000000001</v>
      </c>
      <c r="AJ216" s="35"/>
      <c r="AK216" s="35"/>
      <c r="AL216" s="35">
        <v>3</v>
      </c>
      <c r="AM216" s="35">
        <f>899.42+2000.48</f>
        <v>2899.9</v>
      </c>
      <c r="AN216" s="36"/>
      <c r="AO216" s="36"/>
      <c r="AP216" s="36"/>
      <c r="AQ216" s="35"/>
      <c r="AR216" s="35">
        <v>26.61</v>
      </c>
      <c r="AS216" s="35">
        <v>145216.72</v>
      </c>
      <c r="AT216" s="35"/>
      <c r="AU216" s="35"/>
    </row>
    <row r="217" spans="1:47" s="7" customFormat="1" ht="15.75" customHeight="1" x14ac:dyDescent="0.35">
      <c r="A217" s="13" t="s">
        <v>74</v>
      </c>
      <c r="B217" s="33">
        <v>294621.48</v>
      </c>
      <c r="C217" s="35">
        <f t="shared" si="3"/>
        <v>49349.06</v>
      </c>
      <c r="D217" s="35">
        <v>54</v>
      </c>
      <c r="E217" s="35">
        <v>15815.86</v>
      </c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>
        <f>6+19</f>
        <v>25</v>
      </c>
      <c r="Q217" s="35">
        <f>3288.66+9443.8+3568.32</f>
        <v>16300.779999999999</v>
      </c>
      <c r="R217" s="35"/>
      <c r="S217" s="35"/>
      <c r="T217" s="35">
        <v>8</v>
      </c>
      <c r="U217" s="35">
        <f>557.82+15049.6</f>
        <v>15607.42</v>
      </c>
      <c r="V217" s="35"/>
      <c r="W217" s="35"/>
      <c r="X217" s="35"/>
      <c r="Y217" s="35"/>
      <c r="Z217" s="35"/>
      <c r="AA217" s="35"/>
      <c r="AB217" s="35"/>
      <c r="AC217" s="35"/>
      <c r="AD217" s="35">
        <v>5</v>
      </c>
      <c r="AE217" s="35">
        <v>1625</v>
      </c>
      <c r="AF217" s="35"/>
      <c r="AG217" s="35"/>
      <c r="AH217" s="35"/>
      <c r="AI217" s="35"/>
      <c r="AJ217" s="35"/>
      <c r="AK217" s="35"/>
      <c r="AL217" s="35"/>
      <c r="AM217" s="35"/>
      <c r="AN217" s="36"/>
      <c r="AO217" s="36"/>
      <c r="AP217" s="36"/>
      <c r="AQ217" s="35"/>
      <c r="AR217" s="35"/>
      <c r="AS217" s="35"/>
      <c r="AT217" s="35"/>
      <c r="AU217" s="35"/>
    </row>
    <row r="218" spans="1:47" s="7" customFormat="1" ht="15.75" customHeight="1" x14ac:dyDescent="0.35">
      <c r="A218" s="13" t="s">
        <v>75</v>
      </c>
      <c r="B218" s="33">
        <v>94798.8</v>
      </c>
      <c r="C218" s="35">
        <f t="shared" si="3"/>
        <v>20884.330000000002</v>
      </c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>
        <v>18</v>
      </c>
      <c r="Q218" s="35">
        <v>9037.07</v>
      </c>
      <c r="R218" s="35"/>
      <c r="S218" s="35"/>
      <c r="T218" s="35">
        <v>2</v>
      </c>
      <c r="U218" s="35">
        <v>6668.26</v>
      </c>
      <c r="V218" s="35"/>
      <c r="W218" s="35"/>
      <c r="X218" s="35"/>
      <c r="Y218" s="35"/>
      <c r="Z218" s="35"/>
      <c r="AA218" s="35"/>
      <c r="AB218" s="35"/>
      <c r="AC218" s="35"/>
      <c r="AD218" s="35">
        <v>5</v>
      </c>
      <c r="AE218" s="35">
        <v>5179</v>
      </c>
      <c r="AF218" s="35"/>
      <c r="AG218" s="35"/>
      <c r="AH218" s="35"/>
      <c r="AI218" s="35"/>
      <c r="AJ218" s="35"/>
      <c r="AK218" s="35"/>
      <c r="AL218" s="35"/>
      <c r="AM218" s="35"/>
      <c r="AN218" s="36"/>
      <c r="AO218" s="36"/>
      <c r="AP218" s="36"/>
      <c r="AQ218" s="35"/>
      <c r="AR218" s="35"/>
      <c r="AS218" s="35"/>
      <c r="AT218" s="35"/>
      <c r="AU218" s="35"/>
    </row>
    <row r="219" spans="1:47" s="7" customFormat="1" ht="15.75" customHeight="1" x14ac:dyDescent="0.35">
      <c r="A219" s="13" t="s">
        <v>76</v>
      </c>
      <c r="B219" s="33">
        <v>279716.88</v>
      </c>
      <c r="C219" s="35">
        <f t="shared" si="3"/>
        <v>219557.98700000002</v>
      </c>
      <c r="D219" s="35"/>
      <c r="E219" s="35"/>
      <c r="F219" s="35"/>
      <c r="G219" s="35"/>
      <c r="H219" s="35"/>
      <c r="I219" s="35"/>
      <c r="J219" s="35">
        <v>21</v>
      </c>
      <c r="K219" s="35">
        <v>1577.04</v>
      </c>
      <c r="L219" s="35"/>
      <c r="M219" s="35"/>
      <c r="N219" s="35"/>
      <c r="O219" s="35"/>
      <c r="P219" s="35"/>
      <c r="Q219" s="35"/>
      <c r="R219" s="35">
        <v>3</v>
      </c>
      <c r="S219" s="35">
        <v>11307</v>
      </c>
      <c r="T219" s="35">
        <v>2</v>
      </c>
      <c r="U219" s="35">
        <v>6567.14</v>
      </c>
      <c r="V219" s="35"/>
      <c r="W219" s="35"/>
      <c r="X219" s="35"/>
      <c r="Y219" s="35"/>
      <c r="Z219" s="35">
        <v>1.6</v>
      </c>
      <c r="AA219" s="35">
        <v>4309.6670000000004</v>
      </c>
      <c r="AB219" s="35"/>
      <c r="AC219" s="35"/>
      <c r="AD219" s="35">
        <v>26</v>
      </c>
      <c r="AE219" s="35">
        <f>2273.6+7439+4145.01</f>
        <v>13857.61</v>
      </c>
      <c r="AF219" s="35"/>
      <c r="AG219" s="35"/>
      <c r="AH219" s="35">
        <v>4</v>
      </c>
      <c r="AI219" s="35">
        <v>691.48</v>
      </c>
      <c r="AJ219" s="35">
        <f>140+100</f>
        <v>240</v>
      </c>
      <c r="AK219" s="35">
        <f>23027.7+8265.9</f>
        <v>31293.599999999999</v>
      </c>
      <c r="AL219" s="35">
        <v>4</v>
      </c>
      <c r="AM219" s="35">
        <v>2911.11</v>
      </c>
      <c r="AN219" s="36">
        <v>1</v>
      </c>
      <c r="AO219" s="36">
        <v>1128.06</v>
      </c>
      <c r="AP219" s="36"/>
      <c r="AQ219" s="35"/>
      <c r="AR219" s="35">
        <v>26.74</v>
      </c>
      <c r="AS219" s="35">
        <v>145915.28</v>
      </c>
      <c r="AT219" s="35"/>
      <c r="AU219" s="35"/>
    </row>
    <row r="220" spans="1:47" s="7" customFormat="1" ht="15.75" customHeight="1" x14ac:dyDescent="0.35">
      <c r="A220" s="13" t="s">
        <v>77</v>
      </c>
      <c r="B220" s="33">
        <v>105705.36</v>
      </c>
      <c r="C220" s="35">
        <f t="shared" si="3"/>
        <v>222997.52</v>
      </c>
      <c r="D220" s="35"/>
      <c r="E220" s="35"/>
      <c r="F220" s="35"/>
      <c r="G220" s="35"/>
      <c r="H220" s="35"/>
      <c r="I220" s="35"/>
      <c r="J220" s="35">
        <v>72</v>
      </c>
      <c r="K220" s="35">
        <f>45228+894</f>
        <v>46122</v>
      </c>
      <c r="L220" s="35"/>
      <c r="M220" s="35"/>
      <c r="N220" s="35"/>
      <c r="O220" s="35"/>
      <c r="P220" s="35">
        <v>3</v>
      </c>
      <c r="Q220" s="35">
        <v>1525</v>
      </c>
      <c r="R220" s="35"/>
      <c r="S220" s="35"/>
      <c r="T220" s="35"/>
      <c r="U220" s="35"/>
      <c r="V220" s="35"/>
      <c r="W220" s="35"/>
      <c r="X220" s="35">
        <v>12</v>
      </c>
      <c r="Y220" s="35">
        <v>13178.25</v>
      </c>
      <c r="Z220" s="35"/>
      <c r="AA220" s="35"/>
      <c r="AB220" s="35"/>
      <c r="AC220" s="35"/>
      <c r="AD220" s="35"/>
      <c r="AE220" s="35"/>
      <c r="AF220" s="35"/>
      <c r="AG220" s="35"/>
      <c r="AH220" s="35"/>
      <c r="AI220" s="35"/>
      <c r="AJ220" s="35"/>
      <c r="AK220" s="35">
        <v>1499.53</v>
      </c>
      <c r="AL220" s="35"/>
      <c r="AM220" s="35"/>
      <c r="AN220" s="36"/>
      <c r="AO220" s="36"/>
      <c r="AP220" s="36"/>
      <c r="AQ220" s="35"/>
      <c r="AR220" s="35">
        <v>29.44</v>
      </c>
      <c r="AS220" s="35">
        <v>160672.74</v>
      </c>
      <c r="AT220" s="35"/>
      <c r="AU220" s="35"/>
    </row>
    <row r="221" spans="1:47" s="7" customFormat="1" ht="15.75" customHeight="1" x14ac:dyDescent="0.35">
      <c r="A221" s="13" t="s">
        <v>78</v>
      </c>
      <c r="B221" s="33">
        <v>47409.24</v>
      </c>
      <c r="C221" s="35">
        <f t="shared" si="3"/>
        <v>3816</v>
      </c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F221" s="35"/>
      <c r="AG221" s="35"/>
      <c r="AH221" s="35">
        <v>1</v>
      </c>
      <c r="AI221" s="35">
        <v>193</v>
      </c>
      <c r="AJ221" s="35">
        <v>49</v>
      </c>
      <c r="AK221" s="35">
        <v>3623</v>
      </c>
      <c r="AL221" s="35"/>
      <c r="AM221" s="35"/>
      <c r="AN221" s="36"/>
      <c r="AO221" s="36"/>
      <c r="AP221" s="36"/>
      <c r="AQ221" s="35"/>
      <c r="AR221" s="35"/>
      <c r="AS221" s="35"/>
      <c r="AT221" s="35"/>
      <c r="AU221" s="35"/>
    </row>
    <row r="222" spans="1:47" s="7" customFormat="1" ht="15.75" customHeight="1" x14ac:dyDescent="0.35">
      <c r="A222" s="13" t="s">
        <v>79</v>
      </c>
      <c r="B222" s="33">
        <v>132392.64000000001</v>
      </c>
      <c r="C222" s="35">
        <f t="shared" si="3"/>
        <v>28866.304</v>
      </c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>
        <v>10</v>
      </c>
      <c r="Q222" s="35">
        <f>4709.75+1130.51</f>
        <v>5840.26</v>
      </c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  <c r="AC222" s="35"/>
      <c r="AD222" s="35">
        <v>6</v>
      </c>
      <c r="AE222" s="35">
        <v>2413.4499999999998</v>
      </c>
      <c r="AF222" s="35"/>
      <c r="AG222" s="35"/>
      <c r="AH222" s="35">
        <v>1</v>
      </c>
      <c r="AI222" s="35">
        <v>691.83399999999995</v>
      </c>
      <c r="AJ222" s="35">
        <v>102</v>
      </c>
      <c r="AK222" s="35">
        <v>8265.9</v>
      </c>
      <c r="AL222" s="35">
        <v>8</v>
      </c>
      <c r="AM222" s="35">
        <v>9766.86</v>
      </c>
      <c r="AN222" s="36">
        <v>1</v>
      </c>
      <c r="AO222" s="36">
        <v>1888</v>
      </c>
      <c r="AP222" s="36"/>
      <c r="AQ222" s="35"/>
      <c r="AR222" s="35"/>
      <c r="AS222" s="35"/>
      <c r="AT222" s="35"/>
      <c r="AU222" s="35"/>
    </row>
    <row r="223" spans="1:47" s="7" customFormat="1" ht="15.75" customHeight="1" x14ac:dyDescent="0.35">
      <c r="A223" s="12" t="s">
        <v>80</v>
      </c>
      <c r="B223" s="33">
        <v>500343.87</v>
      </c>
      <c r="C223" s="35">
        <f t="shared" si="3"/>
        <v>264472.93859999999</v>
      </c>
      <c r="D223" s="35"/>
      <c r="E223" s="35"/>
      <c r="F223" s="35"/>
      <c r="G223" s="35"/>
      <c r="H223" s="35"/>
      <c r="I223" s="35"/>
      <c r="J223" s="35">
        <f>124+15+8</f>
        <v>147</v>
      </c>
      <c r="K223" s="35">
        <f>77893+1644.33+328.84</f>
        <v>79866.17</v>
      </c>
      <c r="L223" s="35">
        <v>439</v>
      </c>
      <c r="M223" s="35">
        <v>106498</v>
      </c>
      <c r="N223" s="35"/>
      <c r="O223" s="35"/>
      <c r="P223" s="35">
        <v>17</v>
      </c>
      <c r="Q223" s="35">
        <f>771.6+3077.58+9914.68</f>
        <v>13763.86</v>
      </c>
      <c r="R223" s="35">
        <v>5</v>
      </c>
      <c r="S223" s="35">
        <f>438.49+376.48+367.11</f>
        <v>1182.08</v>
      </c>
      <c r="T223" s="35">
        <v>10</v>
      </c>
      <c r="U223" s="35">
        <v>11864.8</v>
      </c>
      <c r="V223" s="35"/>
      <c r="W223" s="35"/>
      <c r="X223" s="35">
        <v>12</v>
      </c>
      <c r="Y223" s="35">
        <v>1251.7085999999999</v>
      </c>
      <c r="Z223" s="35"/>
      <c r="AA223" s="35"/>
      <c r="AB223" s="35"/>
      <c r="AC223" s="35"/>
      <c r="AD223" s="35">
        <v>81</v>
      </c>
      <c r="AE223" s="35">
        <f>4090.91+20978.04</f>
        <v>25068.95</v>
      </c>
      <c r="AF223" s="35"/>
      <c r="AG223" s="35"/>
      <c r="AH223" s="35">
        <v>1</v>
      </c>
      <c r="AI223" s="35">
        <v>409.93</v>
      </c>
      <c r="AJ223" s="35">
        <f>40+27</f>
        <v>67</v>
      </c>
      <c r="AK223" s="35">
        <f>4647.39+5187.41+2384.64+512</f>
        <v>12731.439999999999</v>
      </c>
      <c r="AL223" s="35">
        <v>5</v>
      </c>
      <c r="AM223" s="35">
        <f>9655.36+2180.64</f>
        <v>11836</v>
      </c>
      <c r="AN223" s="36"/>
      <c r="AO223" s="36"/>
      <c r="AP223" s="36"/>
      <c r="AQ223" s="35"/>
      <c r="AR223" s="35"/>
      <c r="AS223" s="35"/>
      <c r="AT223" s="35"/>
      <c r="AU223" s="35"/>
    </row>
    <row r="224" spans="1:47" s="7" customFormat="1" ht="15.75" customHeight="1" x14ac:dyDescent="0.35">
      <c r="A224" s="12" t="s">
        <v>81</v>
      </c>
      <c r="B224" s="33">
        <v>92716.83</v>
      </c>
      <c r="C224" s="35">
        <f t="shared" si="3"/>
        <v>105959.1928</v>
      </c>
      <c r="D224" s="35"/>
      <c r="E224" s="35"/>
      <c r="F224" s="35"/>
      <c r="G224" s="35"/>
      <c r="H224" s="35"/>
      <c r="I224" s="35"/>
      <c r="J224" s="35">
        <f>150+2</f>
        <v>152</v>
      </c>
      <c r="K224" s="35">
        <f>94225+3770.4</f>
        <v>97995.4</v>
      </c>
      <c r="L224" s="35"/>
      <c r="M224" s="35"/>
      <c r="N224" s="35"/>
      <c r="O224" s="35"/>
      <c r="P224" s="35">
        <v>4</v>
      </c>
      <c r="Q224" s="35">
        <f>4700+1316.13</f>
        <v>6016.13</v>
      </c>
      <c r="R224" s="35">
        <v>1</v>
      </c>
      <c r="S224" s="35">
        <v>383.03</v>
      </c>
      <c r="T224" s="35"/>
      <c r="U224" s="35"/>
      <c r="V224" s="35"/>
      <c r="W224" s="35"/>
      <c r="X224" s="35">
        <v>5</v>
      </c>
      <c r="Y224" s="35">
        <v>1564.6328000000001</v>
      </c>
      <c r="Z224" s="35"/>
      <c r="AA224" s="35"/>
      <c r="AB224" s="35"/>
      <c r="AC224" s="35"/>
      <c r="AD224" s="35"/>
      <c r="AE224" s="35"/>
      <c r="AF224" s="35"/>
      <c r="AG224" s="35"/>
      <c r="AH224" s="35"/>
      <c r="AI224" s="35"/>
      <c r="AJ224" s="35"/>
      <c r="AK224" s="35"/>
      <c r="AL224" s="35"/>
      <c r="AM224" s="35"/>
      <c r="AN224" s="36"/>
      <c r="AO224" s="36"/>
      <c r="AP224" s="36"/>
      <c r="AQ224" s="35"/>
      <c r="AR224" s="35"/>
      <c r="AS224" s="35"/>
      <c r="AT224" s="35"/>
      <c r="AU224" s="35"/>
    </row>
    <row r="225" spans="1:47" s="7" customFormat="1" ht="15.75" customHeight="1" x14ac:dyDescent="0.35">
      <c r="A225" s="12" t="s">
        <v>82</v>
      </c>
      <c r="B225" s="33">
        <v>267724.3</v>
      </c>
      <c r="C225" s="35">
        <f t="shared" si="3"/>
        <v>1526371.044</v>
      </c>
      <c r="D225" s="35"/>
      <c r="E225" s="35"/>
      <c r="F225" s="35"/>
      <c r="G225" s="35"/>
      <c r="H225" s="35">
        <v>446.43</v>
      </c>
      <c r="I225" s="35">
        <v>1239500</v>
      </c>
      <c r="J225" s="35">
        <v>104</v>
      </c>
      <c r="K225" s="35">
        <v>65331</v>
      </c>
      <c r="L225" s="35">
        <v>438</v>
      </c>
      <c r="M225" s="35">
        <v>100335</v>
      </c>
      <c r="N225" s="35"/>
      <c r="O225" s="35"/>
      <c r="P225" s="35">
        <v>13</v>
      </c>
      <c r="Q225" s="35">
        <f>787.414+1944.01+1724.49</f>
        <v>4455.9139999999998</v>
      </c>
      <c r="R225" s="35"/>
      <c r="S225" s="35"/>
      <c r="T225" s="35"/>
      <c r="U225" s="35"/>
      <c r="V225" s="35"/>
      <c r="W225" s="35"/>
      <c r="X225" s="35">
        <v>3</v>
      </c>
      <c r="Y225" s="35">
        <v>952.89</v>
      </c>
      <c r="Z225" s="35"/>
      <c r="AA225" s="35"/>
      <c r="AB225" s="35"/>
      <c r="AC225" s="35"/>
      <c r="AD225" s="35">
        <f>19+39</f>
        <v>58</v>
      </c>
      <c r="AE225" s="35">
        <f>10689.8+9140.52+10546.8</f>
        <v>30377.119999999999</v>
      </c>
      <c r="AF225" s="35"/>
      <c r="AG225" s="35"/>
      <c r="AH225" s="35">
        <v>15</v>
      </c>
      <c r="AI225" s="35">
        <f>564.05+3099.8+6501.2+2049.6</f>
        <v>12214.65</v>
      </c>
      <c r="AJ225" s="35">
        <v>70</v>
      </c>
      <c r="AK225" s="35">
        <f>4478+8325.93</f>
        <v>12803.93</v>
      </c>
      <c r="AL225" s="35">
        <v>16</v>
      </c>
      <c r="AM225" s="35">
        <v>7678.53</v>
      </c>
      <c r="AN225" s="36">
        <v>5</v>
      </c>
      <c r="AO225" s="36">
        <f>17730.92+2109.98</f>
        <v>19840.899999999998</v>
      </c>
      <c r="AP225" s="36"/>
      <c r="AQ225" s="35">
        <v>32881.11</v>
      </c>
      <c r="AR225" s="35"/>
      <c r="AS225" s="35"/>
      <c r="AT225" s="35"/>
      <c r="AU225" s="35"/>
    </row>
    <row r="226" spans="1:47" s="7" customFormat="1" ht="15.75" customHeight="1" x14ac:dyDescent="0.35">
      <c r="A226" s="13" t="s">
        <v>83</v>
      </c>
      <c r="B226" s="33">
        <v>29448.720000000001</v>
      </c>
      <c r="C226" s="35">
        <f t="shared" si="3"/>
        <v>40967.75</v>
      </c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F226" s="35"/>
      <c r="AG226" s="35"/>
      <c r="AH226" s="35"/>
      <c r="AI226" s="35"/>
      <c r="AJ226" s="35">
        <v>5</v>
      </c>
      <c r="AK226" s="35">
        <v>421</v>
      </c>
      <c r="AL226" s="35"/>
      <c r="AM226" s="35"/>
      <c r="AN226" s="36">
        <v>2</v>
      </c>
      <c r="AO226" s="36">
        <f>432.77+1081</f>
        <v>1513.77</v>
      </c>
      <c r="AP226" s="36"/>
      <c r="AQ226" s="35"/>
      <c r="AR226" s="35">
        <v>7.15</v>
      </c>
      <c r="AS226" s="35">
        <v>39032.980000000003</v>
      </c>
      <c r="AT226" s="35"/>
      <c r="AU226" s="35"/>
    </row>
    <row r="227" spans="1:47" s="7" customFormat="1" ht="15.75" customHeight="1" x14ac:dyDescent="0.35">
      <c r="A227" s="12" t="s">
        <v>84</v>
      </c>
      <c r="B227" s="33">
        <v>97859.57</v>
      </c>
      <c r="C227" s="35">
        <f t="shared" si="3"/>
        <v>164547.64000000001</v>
      </c>
      <c r="D227" s="35"/>
      <c r="E227" s="35"/>
      <c r="F227" s="35"/>
      <c r="G227" s="35"/>
      <c r="H227" s="35"/>
      <c r="I227" s="35"/>
      <c r="J227" s="35">
        <v>13</v>
      </c>
      <c r="K227" s="35">
        <f>20140.6+264</f>
        <v>20404.599999999999</v>
      </c>
      <c r="L227" s="35"/>
      <c r="M227" s="35"/>
      <c r="N227" s="35"/>
      <c r="O227" s="35"/>
      <c r="P227" s="35">
        <v>6</v>
      </c>
      <c r="Q227" s="35">
        <f>1574.84+1536</f>
        <v>3110.84</v>
      </c>
      <c r="R227" s="35"/>
      <c r="S227" s="35"/>
      <c r="T227" s="35"/>
      <c r="U227" s="35"/>
      <c r="V227" s="35"/>
      <c r="W227" s="35"/>
      <c r="X227" s="35"/>
      <c r="Y227" s="35"/>
      <c r="Z227" s="35"/>
      <c r="AA227" s="35"/>
      <c r="AB227" s="35"/>
      <c r="AC227" s="35"/>
      <c r="AD227" s="35">
        <v>8</v>
      </c>
      <c r="AE227" s="35">
        <v>4635</v>
      </c>
      <c r="AF227" s="35"/>
      <c r="AG227" s="35"/>
      <c r="AH227" s="35"/>
      <c r="AI227" s="35"/>
      <c r="AJ227" s="35"/>
      <c r="AK227" s="35"/>
      <c r="AL227" s="35"/>
      <c r="AM227" s="35"/>
      <c r="AN227" s="36"/>
      <c r="AO227" s="36"/>
      <c r="AP227" s="36"/>
      <c r="AQ227" s="35"/>
      <c r="AR227" s="35">
        <v>39.57</v>
      </c>
      <c r="AS227" s="35">
        <v>136397.20000000001</v>
      </c>
      <c r="AT227" s="35"/>
      <c r="AU227" s="35"/>
    </row>
    <row r="228" spans="1:47" s="7" customFormat="1" ht="15.75" customHeight="1" x14ac:dyDescent="0.35">
      <c r="A228" s="13" t="s">
        <v>85</v>
      </c>
      <c r="B228" s="33">
        <v>250082.4</v>
      </c>
      <c r="C228" s="35">
        <f t="shared" si="3"/>
        <v>247585.065</v>
      </c>
      <c r="D228" s="35"/>
      <c r="E228" s="35"/>
      <c r="F228" s="35"/>
      <c r="G228" s="35"/>
      <c r="H228" s="35"/>
      <c r="I228" s="35"/>
      <c r="J228" s="35">
        <v>30</v>
      </c>
      <c r="K228" s="35">
        <f>3202+8582.49</f>
        <v>11784.49</v>
      </c>
      <c r="L228" s="35"/>
      <c r="M228" s="35"/>
      <c r="N228" s="35"/>
      <c r="O228" s="35"/>
      <c r="P228" s="35">
        <v>13</v>
      </c>
      <c r="Q228" s="35">
        <v>7120</v>
      </c>
      <c r="R228" s="35">
        <v>2</v>
      </c>
      <c r="S228" s="35">
        <f>383.03+5698.57</f>
        <v>6081.5999999999995</v>
      </c>
      <c r="T228" s="35">
        <v>18</v>
      </c>
      <c r="U228" s="35">
        <f>11865+2121</f>
        <v>13986</v>
      </c>
      <c r="V228" s="35">
        <v>2.5</v>
      </c>
      <c r="W228" s="35">
        <v>3201.15</v>
      </c>
      <c r="X228" s="35">
        <v>34</v>
      </c>
      <c r="Y228" s="35">
        <v>11592.355</v>
      </c>
      <c r="Z228" s="35">
        <v>8</v>
      </c>
      <c r="AA228" s="35">
        <v>3085</v>
      </c>
      <c r="AB228" s="35"/>
      <c r="AC228" s="35"/>
      <c r="AD228" s="35"/>
      <c r="AE228" s="35"/>
      <c r="AF228" s="35">
        <v>4</v>
      </c>
      <c r="AG228" s="35">
        <v>12641.7</v>
      </c>
      <c r="AH228" s="35"/>
      <c r="AI228" s="35"/>
      <c r="AJ228" s="35">
        <v>23</v>
      </c>
      <c r="AK228" s="35">
        <f>1684.13+194.7</f>
        <v>1878.8300000000002</v>
      </c>
      <c r="AL228" s="35">
        <v>16</v>
      </c>
      <c r="AM228" s="35">
        <v>11029.4</v>
      </c>
      <c r="AN228" s="36">
        <v>2</v>
      </c>
      <c r="AO228" s="36">
        <f>432.77+1080.88</f>
        <v>1513.65</v>
      </c>
      <c r="AP228" s="36"/>
      <c r="AQ228" s="35">
        <v>53440.58</v>
      </c>
      <c r="AR228" s="35">
        <v>20.79</v>
      </c>
      <c r="AS228" s="35">
        <v>113431.46</v>
      </c>
      <c r="AT228" s="35"/>
      <c r="AU228" s="35"/>
    </row>
    <row r="229" spans="1:47" s="7" customFormat="1" ht="15.75" customHeight="1" x14ac:dyDescent="0.35">
      <c r="A229" s="12" t="s">
        <v>86</v>
      </c>
      <c r="B229" s="33">
        <v>70959.22</v>
      </c>
      <c r="C229" s="35">
        <f t="shared" si="3"/>
        <v>32284.27</v>
      </c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>
        <v>1</v>
      </c>
      <c r="S229" s="35">
        <v>302</v>
      </c>
      <c r="T229" s="35"/>
      <c r="U229" s="35"/>
      <c r="V229" s="35"/>
      <c r="W229" s="35"/>
      <c r="X229" s="35"/>
      <c r="Y229" s="35"/>
      <c r="Z229" s="35"/>
      <c r="AA229" s="35"/>
      <c r="AB229" s="35"/>
      <c r="AC229" s="35"/>
      <c r="AD229" s="35">
        <v>3</v>
      </c>
      <c r="AE229" s="35">
        <v>3941.39</v>
      </c>
      <c r="AF229" s="35"/>
      <c r="AG229" s="35"/>
      <c r="AH229" s="35">
        <v>1</v>
      </c>
      <c r="AI229" s="35">
        <v>394.16</v>
      </c>
      <c r="AJ229" s="35"/>
      <c r="AK229" s="35"/>
      <c r="AL229" s="35">
        <v>18</v>
      </c>
      <c r="AM229" s="35">
        <v>16366.2</v>
      </c>
      <c r="AN229" s="36">
        <v>10</v>
      </c>
      <c r="AO229" s="36">
        <v>11280.52</v>
      </c>
      <c r="AP229" s="36"/>
      <c r="AQ229" s="35"/>
      <c r="AR229" s="35"/>
      <c r="AS229" s="35"/>
      <c r="AT229" s="35"/>
      <c r="AU229" s="35"/>
    </row>
    <row r="230" spans="1:47" s="7" customFormat="1" ht="15.75" customHeight="1" x14ac:dyDescent="0.35">
      <c r="A230" s="13" t="s">
        <v>87</v>
      </c>
      <c r="B230" s="33">
        <v>150790.44</v>
      </c>
      <c r="C230" s="35">
        <f t="shared" si="3"/>
        <v>89772.959999999992</v>
      </c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>
        <v>5</v>
      </c>
      <c r="Q230" s="35">
        <v>273</v>
      </c>
      <c r="R230" s="35">
        <v>1</v>
      </c>
      <c r="S230" s="35">
        <v>383.03</v>
      </c>
      <c r="T230" s="35"/>
      <c r="U230" s="35"/>
      <c r="V230" s="35"/>
      <c r="W230" s="35"/>
      <c r="X230" s="35"/>
      <c r="Y230" s="35"/>
      <c r="Z230" s="35"/>
      <c r="AA230" s="35"/>
      <c r="AB230" s="35"/>
      <c r="AC230" s="35"/>
      <c r="AD230" s="35">
        <v>32</v>
      </c>
      <c r="AE230" s="35">
        <f>5321.04+5321.04+14133.12</f>
        <v>24775.200000000001</v>
      </c>
      <c r="AF230" s="35">
        <v>2</v>
      </c>
      <c r="AG230" s="35">
        <v>2248</v>
      </c>
      <c r="AH230" s="35">
        <v>4</v>
      </c>
      <c r="AI230" s="35">
        <v>1383.67</v>
      </c>
      <c r="AJ230" s="35">
        <v>4</v>
      </c>
      <c r="AK230" s="35">
        <v>2611.66</v>
      </c>
      <c r="AL230" s="35"/>
      <c r="AM230" s="35"/>
      <c r="AN230" s="36">
        <v>2</v>
      </c>
      <c r="AO230" s="36">
        <f>432.77+1080.88</f>
        <v>1513.65</v>
      </c>
      <c r="AP230" s="36"/>
      <c r="AQ230" s="35"/>
      <c r="AR230" s="35">
        <v>10.37</v>
      </c>
      <c r="AS230" s="35">
        <v>56584.75</v>
      </c>
      <c r="AT230" s="35"/>
      <c r="AU230" s="35"/>
    </row>
    <row r="231" spans="1:47" s="7" customFormat="1" ht="15.75" customHeight="1" x14ac:dyDescent="0.35">
      <c r="A231" s="12" t="s">
        <v>88</v>
      </c>
      <c r="B231" s="33">
        <v>146008.97</v>
      </c>
      <c r="C231" s="35">
        <f t="shared" si="3"/>
        <v>724013.52</v>
      </c>
      <c r="D231" s="35"/>
      <c r="E231" s="35"/>
      <c r="F231" s="35">
        <v>110</v>
      </c>
      <c r="G231" s="35">
        <v>248389</v>
      </c>
      <c r="H231" s="35"/>
      <c r="I231" s="35"/>
      <c r="J231" s="35">
        <v>410</v>
      </c>
      <c r="K231" s="35">
        <v>257549.7</v>
      </c>
      <c r="L231" s="35">
        <v>508</v>
      </c>
      <c r="M231" s="35">
        <v>205224</v>
      </c>
      <c r="N231" s="35"/>
      <c r="O231" s="35"/>
      <c r="P231" s="35"/>
      <c r="Q231" s="35"/>
      <c r="R231" s="35"/>
      <c r="S231" s="35"/>
      <c r="T231" s="35">
        <v>6</v>
      </c>
      <c r="U231" s="35">
        <v>7118.89</v>
      </c>
      <c r="V231" s="35"/>
      <c r="W231" s="35"/>
      <c r="X231" s="35"/>
      <c r="Y231" s="35"/>
      <c r="Z231" s="35"/>
      <c r="AA231" s="35"/>
      <c r="AB231" s="35"/>
      <c r="AC231" s="35"/>
      <c r="AD231" s="35">
        <v>5</v>
      </c>
      <c r="AE231" s="35">
        <v>4417</v>
      </c>
      <c r="AF231" s="35"/>
      <c r="AG231" s="35"/>
      <c r="AH231" s="35">
        <v>1</v>
      </c>
      <c r="AI231" s="35">
        <v>409.93</v>
      </c>
      <c r="AJ231" s="35">
        <v>12</v>
      </c>
      <c r="AK231" s="35">
        <v>905</v>
      </c>
      <c r="AL231" s="35"/>
      <c r="AM231" s="35"/>
      <c r="AN231" s="36"/>
      <c r="AO231" s="36"/>
      <c r="AP231" s="36"/>
      <c r="AQ231" s="35"/>
      <c r="AR231" s="35"/>
      <c r="AS231" s="35"/>
      <c r="AT231" s="35"/>
      <c r="AU231" s="35"/>
    </row>
    <row r="232" spans="1:47" s="7" customFormat="1" ht="15.75" customHeight="1" x14ac:dyDescent="0.35">
      <c r="A232" s="12" t="s">
        <v>89</v>
      </c>
      <c r="B232" s="33">
        <v>115274.03</v>
      </c>
      <c r="C232" s="35">
        <f t="shared" si="3"/>
        <v>216421.55899999998</v>
      </c>
      <c r="D232" s="35">
        <v>6</v>
      </c>
      <c r="E232" s="35">
        <v>2380</v>
      </c>
      <c r="F232" s="35"/>
      <c r="G232" s="35"/>
      <c r="H232" s="35"/>
      <c r="I232" s="35"/>
      <c r="J232" s="35">
        <v>285</v>
      </c>
      <c r="K232" s="35">
        <f>175887.6+3489.86</f>
        <v>179377.46</v>
      </c>
      <c r="L232" s="35"/>
      <c r="M232" s="35"/>
      <c r="N232" s="35"/>
      <c r="O232" s="35"/>
      <c r="P232" s="35"/>
      <c r="Q232" s="35"/>
      <c r="R232" s="35">
        <v>1</v>
      </c>
      <c r="S232" s="35">
        <v>383</v>
      </c>
      <c r="T232" s="35">
        <v>6</v>
      </c>
      <c r="U232" s="35">
        <v>17110</v>
      </c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F232" s="35"/>
      <c r="AG232" s="35"/>
      <c r="AH232" s="35"/>
      <c r="AI232" s="35"/>
      <c r="AJ232" s="35">
        <v>25</v>
      </c>
      <c r="AK232" s="35">
        <f>2001.88+579.899</f>
        <v>2581.779</v>
      </c>
      <c r="AL232" s="35">
        <v>14</v>
      </c>
      <c r="AM232" s="35">
        <f>5777.8+6866</f>
        <v>12643.8</v>
      </c>
      <c r="AN232" s="36">
        <v>3</v>
      </c>
      <c r="AO232" s="36">
        <f>865.52+1080</f>
        <v>1945.52</v>
      </c>
      <c r="AP232" s="36"/>
      <c r="AQ232" s="35"/>
      <c r="AR232" s="35"/>
      <c r="AS232" s="35"/>
      <c r="AT232" s="35"/>
      <c r="AU232" s="35"/>
    </row>
    <row r="233" spans="1:47" s="7" customFormat="1" ht="15.75" customHeight="1" x14ac:dyDescent="0.35">
      <c r="A233" s="12" t="s">
        <v>90</v>
      </c>
      <c r="B233" s="33">
        <v>104649.84</v>
      </c>
      <c r="C233" s="35">
        <f t="shared" si="3"/>
        <v>0</v>
      </c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F233" s="35"/>
      <c r="AG233" s="35"/>
      <c r="AH233" s="35"/>
      <c r="AI233" s="35"/>
      <c r="AJ233" s="35"/>
      <c r="AK233" s="35"/>
      <c r="AL233" s="35"/>
      <c r="AM233" s="35"/>
      <c r="AN233" s="36"/>
      <c r="AO233" s="36"/>
      <c r="AP233" s="36"/>
      <c r="AQ233" s="35"/>
      <c r="AR233" s="35"/>
      <c r="AS233" s="35"/>
      <c r="AT233" s="35"/>
      <c r="AU233" s="35"/>
    </row>
    <row r="234" spans="1:47" s="7" customFormat="1" ht="15.75" customHeight="1" x14ac:dyDescent="0.35">
      <c r="A234" s="12" t="s">
        <v>91</v>
      </c>
      <c r="B234" s="33">
        <v>164472.93</v>
      </c>
      <c r="C234" s="35">
        <f t="shared" si="3"/>
        <v>8997.357</v>
      </c>
      <c r="D234" s="35"/>
      <c r="E234" s="35"/>
      <c r="F234" s="35"/>
      <c r="G234" s="35"/>
      <c r="H234" s="35"/>
      <c r="I234" s="35"/>
      <c r="J234" s="35">
        <v>8</v>
      </c>
      <c r="K234" s="35">
        <f>2978.27+627.677</f>
        <v>3605.9470000000001</v>
      </c>
      <c r="L234" s="35"/>
      <c r="M234" s="35"/>
      <c r="N234" s="35"/>
      <c r="O234" s="35"/>
      <c r="P234" s="35">
        <v>1</v>
      </c>
      <c r="Q234" s="35">
        <v>565.22</v>
      </c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F234" s="35"/>
      <c r="AG234" s="35"/>
      <c r="AH234" s="35">
        <v>2</v>
      </c>
      <c r="AI234" s="35">
        <v>822.05</v>
      </c>
      <c r="AJ234" s="35">
        <v>14</v>
      </c>
      <c r="AK234" s="35">
        <f>1043.83+324.5</f>
        <v>1368.33</v>
      </c>
      <c r="AL234" s="35">
        <v>3</v>
      </c>
      <c r="AM234" s="35">
        <v>1527.07</v>
      </c>
      <c r="AN234" s="36">
        <v>1</v>
      </c>
      <c r="AO234" s="36">
        <v>1108.74</v>
      </c>
      <c r="AP234" s="36"/>
      <c r="AQ234" s="35"/>
      <c r="AR234" s="35"/>
      <c r="AS234" s="35"/>
      <c r="AT234" s="35"/>
      <c r="AU234" s="35"/>
    </row>
    <row r="235" spans="1:47" s="7" customFormat="1" ht="15.75" customHeight="1" x14ac:dyDescent="0.35">
      <c r="A235" s="12" t="s">
        <v>92</v>
      </c>
      <c r="B235" s="33">
        <v>133747.92000000001</v>
      </c>
      <c r="C235" s="35">
        <f t="shared" si="3"/>
        <v>34387.466</v>
      </c>
      <c r="D235" s="35">
        <v>1</v>
      </c>
      <c r="E235" s="35">
        <v>5928.4143999999997</v>
      </c>
      <c r="F235" s="35"/>
      <c r="G235" s="35"/>
      <c r="H235" s="35"/>
      <c r="I235" s="35"/>
      <c r="J235" s="35">
        <v>6</v>
      </c>
      <c r="K235" s="35">
        <v>941.51</v>
      </c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>
        <v>37.5</v>
      </c>
      <c r="Y235" s="35">
        <v>12896.44</v>
      </c>
      <c r="Z235" s="35"/>
      <c r="AA235" s="35"/>
      <c r="AB235" s="35"/>
      <c r="AC235" s="35"/>
      <c r="AD235" s="35">
        <f>5+8</f>
        <v>13</v>
      </c>
      <c r="AE235" s="35">
        <f>2866.11+4460.0466+985</f>
        <v>8311.1566000000003</v>
      </c>
      <c r="AF235" s="35"/>
      <c r="AG235" s="35"/>
      <c r="AH235" s="35">
        <v>1</v>
      </c>
      <c r="AI235" s="35">
        <v>1027.3</v>
      </c>
      <c r="AJ235" s="35">
        <v>5</v>
      </c>
      <c r="AK235" s="35">
        <f>4611.65+670.995</f>
        <v>5282.6449999999995</v>
      </c>
      <c r="AL235" s="35"/>
      <c r="AM235" s="35"/>
      <c r="AN235" s="36"/>
      <c r="AO235" s="36"/>
      <c r="AP235" s="36"/>
      <c r="AQ235" s="35"/>
      <c r="AR235" s="35"/>
      <c r="AS235" s="35"/>
      <c r="AT235" s="35"/>
      <c r="AU235" s="35"/>
    </row>
    <row r="236" spans="1:47" s="7" customFormat="1" ht="15.75" customHeight="1" x14ac:dyDescent="0.35">
      <c r="A236" s="12" t="s">
        <v>93</v>
      </c>
      <c r="B236" s="33">
        <v>168433.17</v>
      </c>
      <c r="C236" s="35">
        <f t="shared" si="3"/>
        <v>281365.76799999998</v>
      </c>
      <c r="D236" s="35"/>
      <c r="E236" s="35"/>
      <c r="F236" s="35"/>
      <c r="G236" s="35"/>
      <c r="H236" s="35"/>
      <c r="I236" s="35"/>
      <c r="J236" s="35">
        <v>18</v>
      </c>
      <c r="K236" s="35">
        <f>627.677+48214.2</f>
        <v>48841.877</v>
      </c>
      <c r="L236" s="35"/>
      <c r="M236" s="35"/>
      <c r="N236" s="35"/>
      <c r="O236" s="35"/>
      <c r="P236" s="35">
        <v>4</v>
      </c>
      <c r="Q236" s="35">
        <f>188+765.631</f>
        <v>953.63099999999997</v>
      </c>
      <c r="R236" s="35"/>
      <c r="S236" s="35"/>
      <c r="T236" s="35">
        <v>14</v>
      </c>
      <c r="U236" s="35">
        <v>13725</v>
      </c>
      <c r="V236" s="35"/>
      <c r="W236" s="35"/>
      <c r="X236" s="35">
        <v>2.5</v>
      </c>
      <c r="Y236" s="35">
        <v>783.06</v>
      </c>
      <c r="Z236" s="35">
        <f>2.1+2.1</f>
        <v>4.2</v>
      </c>
      <c r="AA236" s="35">
        <f>5873.27+5780.91</f>
        <v>11654.18</v>
      </c>
      <c r="AB236" s="35"/>
      <c r="AC236" s="35"/>
      <c r="AD236" s="35">
        <v>17</v>
      </c>
      <c r="AE236" s="35">
        <f>2486.4+11579.18+6046.78</f>
        <v>20112.36</v>
      </c>
      <c r="AF236" s="35"/>
      <c r="AG236" s="35"/>
      <c r="AH236" s="35">
        <v>8</v>
      </c>
      <c r="AI236" s="35">
        <f>405.96+2975.4+861.99+467.28</f>
        <v>4710.63</v>
      </c>
      <c r="AJ236" s="35">
        <v>40</v>
      </c>
      <c r="AK236" s="35">
        <v>40414.1</v>
      </c>
      <c r="AL236" s="35">
        <v>26</v>
      </c>
      <c r="AM236" s="35">
        <v>21297.7</v>
      </c>
      <c r="AN236" s="36">
        <v>14</v>
      </c>
      <c r="AO236" s="36">
        <v>28145.53</v>
      </c>
      <c r="AP236" s="36"/>
      <c r="AQ236" s="35"/>
      <c r="AR236" s="35">
        <v>16.62</v>
      </c>
      <c r="AS236" s="35">
        <v>90727.7</v>
      </c>
      <c r="AT236" s="35"/>
      <c r="AU236" s="35"/>
    </row>
    <row r="237" spans="1:47" s="7" customFormat="1" ht="15.75" customHeight="1" x14ac:dyDescent="0.35">
      <c r="A237" s="12" t="s">
        <v>94</v>
      </c>
      <c r="B237" s="33">
        <v>43110.59</v>
      </c>
      <c r="C237" s="35">
        <f t="shared" si="3"/>
        <v>0</v>
      </c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F237" s="35"/>
      <c r="AG237" s="35"/>
      <c r="AH237" s="35"/>
      <c r="AI237" s="35"/>
      <c r="AJ237" s="35"/>
      <c r="AK237" s="35"/>
      <c r="AL237" s="35"/>
      <c r="AM237" s="35"/>
      <c r="AN237" s="36"/>
      <c r="AO237" s="36"/>
      <c r="AP237" s="36"/>
      <c r="AQ237" s="35"/>
      <c r="AR237" s="35"/>
      <c r="AS237" s="35"/>
      <c r="AT237" s="35"/>
      <c r="AU237" s="35"/>
    </row>
    <row r="238" spans="1:47" s="7" customFormat="1" ht="15.75" customHeight="1" x14ac:dyDescent="0.35">
      <c r="A238" s="12" t="s">
        <v>95</v>
      </c>
      <c r="B238" s="33">
        <v>279073.87</v>
      </c>
      <c r="C238" s="35">
        <f t="shared" si="3"/>
        <v>694793.68200000003</v>
      </c>
      <c r="D238" s="35"/>
      <c r="E238" s="35"/>
      <c r="F238" s="35"/>
      <c r="G238" s="35"/>
      <c r="H238" s="35"/>
      <c r="I238" s="35"/>
      <c r="J238" s="35">
        <v>11</v>
      </c>
      <c r="K238" s="35">
        <v>1614.28</v>
      </c>
      <c r="L238" s="35">
        <v>614</v>
      </c>
      <c r="M238" s="35">
        <v>114447</v>
      </c>
      <c r="N238" s="35"/>
      <c r="O238" s="35"/>
      <c r="P238" s="35">
        <v>16</v>
      </c>
      <c r="Q238" s="35">
        <v>3641.2</v>
      </c>
      <c r="R238" s="35">
        <v>1</v>
      </c>
      <c r="S238" s="35">
        <v>4290</v>
      </c>
      <c r="T238" s="35">
        <v>98</v>
      </c>
      <c r="U238" s="35">
        <f>328499+6695.5</f>
        <v>335194.5</v>
      </c>
      <c r="V238" s="35">
        <v>4.5</v>
      </c>
      <c r="W238" s="35">
        <v>5806.33</v>
      </c>
      <c r="X238" s="35">
        <v>8</v>
      </c>
      <c r="Y238" s="35">
        <v>3064.14</v>
      </c>
      <c r="Z238" s="35">
        <v>34</v>
      </c>
      <c r="AA238" s="35">
        <v>34948.43</v>
      </c>
      <c r="AB238" s="35"/>
      <c r="AC238" s="35"/>
      <c r="AD238" s="35">
        <v>21</v>
      </c>
      <c r="AE238" s="35">
        <f>27635.32+6695.5</f>
        <v>34330.82</v>
      </c>
      <c r="AF238" s="35"/>
      <c r="AG238" s="35"/>
      <c r="AH238" s="35">
        <v>2</v>
      </c>
      <c r="AI238" s="35">
        <v>822.05</v>
      </c>
      <c r="AJ238" s="35">
        <v>490</v>
      </c>
      <c r="AK238" s="35">
        <f>14770.9+10668+1010.48+13361.1</f>
        <v>39810.480000000003</v>
      </c>
      <c r="AL238" s="35">
        <v>18</v>
      </c>
      <c r="AM238" s="35">
        <f>238.89+130.142+4868.68</f>
        <v>5237.7120000000004</v>
      </c>
      <c r="AN238" s="36">
        <v>3</v>
      </c>
      <c r="AO238" s="36">
        <v>1080</v>
      </c>
      <c r="AP238" s="36"/>
      <c r="AQ238" s="35"/>
      <c r="AR238" s="35">
        <v>21.31</v>
      </c>
      <c r="AS238" s="35">
        <v>116313.07</v>
      </c>
      <c r="AT238" s="35"/>
      <c r="AU238" s="35"/>
    </row>
    <row r="239" spans="1:47" s="7" customFormat="1" ht="15.75" customHeight="1" x14ac:dyDescent="0.35">
      <c r="A239" s="12" t="s">
        <v>96</v>
      </c>
      <c r="B239" s="33">
        <v>96287.52</v>
      </c>
      <c r="C239" s="35">
        <f t="shared" si="3"/>
        <v>85636.55</v>
      </c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>
        <v>2</v>
      </c>
      <c r="Q239" s="35">
        <v>766.63</v>
      </c>
      <c r="R239" s="35"/>
      <c r="S239" s="35"/>
      <c r="T239" s="35"/>
      <c r="U239" s="35"/>
      <c r="V239" s="35"/>
      <c r="W239" s="35"/>
      <c r="X239" s="35">
        <v>6</v>
      </c>
      <c r="Y239" s="35">
        <v>4167.5200000000004</v>
      </c>
      <c r="Z239" s="35"/>
      <c r="AA239" s="35"/>
      <c r="AB239" s="35"/>
      <c r="AC239" s="35"/>
      <c r="AD239" s="64"/>
      <c r="AE239" s="40"/>
      <c r="AF239" s="40"/>
      <c r="AG239" s="35"/>
      <c r="AH239" s="35"/>
      <c r="AI239" s="35"/>
      <c r="AJ239" s="35"/>
      <c r="AK239" s="35"/>
      <c r="AL239" s="35"/>
      <c r="AM239" s="35"/>
      <c r="AN239" s="36"/>
      <c r="AO239" s="36"/>
      <c r="AP239" s="36"/>
      <c r="AQ239" s="35">
        <v>20100.82</v>
      </c>
      <c r="AR239" s="35">
        <v>11.1</v>
      </c>
      <c r="AS239" s="35">
        <v>60601.58</v>
      </c>
      <c r="AT239" s="35"/>
      <c r="AU239" s="35"/>
    </row>
    <row r="240" spans="1:47" s="7" customFormat="1" ht="15.75" customHeight="1" x14ac:dyDescent="0.35">
      <c r="A240" s="12" t="s">
        <v>97</v>
      </c>
      <c r="B240" s="33">
        <v>410535.32</v>
      </c>
      <c r="C240" s="35">
        <f t="shared" si="3"/>
        <v>346070.59879900003</v>
      </c>
      <c r="D240" s="35">
        <v>87</v>
      </c>
      <c r="E240" s="35">
        <f>11105.39+27861.723+1076.71+5369.58+16293.641</f>
        <v>61707.043999999994</v>
      </c>
      <c r="F240" s="35"/>
      <c r="G240" s="35"/>
      <c r="H240" s="35"/>
      <c r="I240" s="35"/>
      <c r="J240" s="35">
        <v>14</v>
      </c>
      <c r="K240" s="35">
        <f>2128.14+6124.46</f>
        <v>8252.6</v>
      </c>
      <c r="L240" s="35"/>
      <c r="M240" s="35"/>
      <c r="N240" s="35"/>
      <c r="O240" s="35"/>
      <c r="P240" s="35">
        <f>24+41+15</f>
        <v>80</v>
      </c>
      <c r="Q240" s="35">
        <f>11748.7+2073.35+6156+2934.22+2572.11+5124.021199</f>
        <v>30608.401199000004</v>
      </c>
      <c r="R240" s="35">
        <v>1</v>
      </c>
      <c r="S240" s="35">
        <v>383.03</v>
      </c>
      <c r="T240" s="35">
        <f>7+8</f>
        <v>15</v>
      </c>
      <c r="U240" s="35">
        <f>21039.9+4725.56</f>
        <v>25765.460000000003</v>
      </c>
      <c r="V240" s="35"/>
      <c r="W240" s="35"/>
      <c r="X240" s="35">
        <f>4+3.5</f>
        <v>7.5</v>
      </c>
      <c r="Y240" s="35">
        <f>1111.42+1251.7086+9549.86</f>
        <v>11912.988600000001</v>
      </c>
      <c r="Z240" s="35">
        <v>16</v>
      </c>
      <c r="AA240" s="35">
        <v>11326.93</v>
      </c>
      <c r="AB240" s="35"/>
      <c r="AC240" s="35"/>
      <c r="AD240" s="35">
        <f>5+8</f>
        <v>13</v>
      </c>
      <c r="AE240" s="35">
        <f>3439.37+4101.66+5493+2065.625</f>
        <v>15099.654999999999</v>
      </c>
      <c r="AF240" s="35"/>
      <c r="AG240" s="35"/>
      <c r="AH240" s="35">
        <v>4</v>
      </c>
      <c r="AI240" s="35">
        <f>409.93+411.03+365.505+345.74</f>
        <v>1532.2050000000002</v>
      </c>
      <c r="AJ240" s="35">
        <v>70</v>
      </c>
      <c r="AK240" s="35">
        <f>8484.2+2319.62</f>
        <v>10803.82</v>
      </c>
      <c r="AL240" s="35">
        <v>8</v>
      </c>
      <c r="AM240" s="35">
        <f>390.415+3458.38</f>
        <v>3848.7950000000001</v>
      </c>
      <c r="AN240" s="36">
        <v>4</v>
      </c>
      <c r="AO240" s="36">
        <f>880.6+24408.3</f>
        <v>25288.899999999998</v>
      </c>
      <c r="AP240" s="36"/>
      <c r="AQ240" s="35"/>
      <c r="AR240" s="35">
        <v>42.63</v>
      </c>
      <c r="AS240" s="35">
        <v>139540.76999999999</v>
      </c>
      <c r="AT240" s="35"/>
      <c r="AU240" s="35"/>
    </row>
    <row r="241" spans="1:47" s="7" customFormat="1" ht="15.75" customHeight="1" x14ac:dyDescent="0.35">
      <c r="A241" s="13" t="s">
        <v>98</v>
      </c>
      <c r="B241" s="33">
        <v>712194.72</v>
      </c>
      <c r="C241" s="35">
        <f t="shared" si="3"/>
        <v>534075.49899999995</v>
      </c>
      <c r="D241" s="35"/>
      <c r="E241" s="35"/>
      <c r="F241" s="35"/>
      <c r="G241" s="35"/>
      <c r="H241" s="35"/>
      <c r="I241" s="35"/>
      <c r="J241" s="35">
        <f>21+22+35</f>
        <v>78</v>
      </c>
      <c r="K241" s="35">
        <f>13199.1+13836.73+21985.95</f>
        <v>49021.78</v>
      </c>
      <c r="L241" s="35"/>
      <c r="M241" s="35"/>
      <c r="N241" s="35"/>
      <c r="O241" s="35"/>
      <c r="P241" s="35">
        <v>14</v>
      </c>
      <c r="Q241" s="35">
        <f>3377.7+2362.24+1136</f>
        <v>6875.94</v>
      </c>
      <c r="R241" s="35"/>
      <c r="S241" s="35"/>
      <c r="T241" s="35">
        <v>10</v>
      </c>
      <c r="U241" s="35">
        <v>3640</v>
      </c>
      <c r="V241" s="35"/>
      <c r="W241" s="35"/>
      <c r="X241" s="35">
        <v>33</v>
      </c>
      <c r="Y241" s="35">
        <v>9093.4699999999993</v>
      </c>
      <c r="Z241" s="35"/>
      <c r="AA241" s="35"/>
      <c r="AB241" s="35"/>
      <c r="AC241" s="35"/>
      <c r="AD241" s="35">
        <v>56</v>
      </c>
      <c r="AE241" s="35">
        <f>2687.757+28353.38+13868.54</f>
        <v>44909.677000000003</v>
      </c>
      <c r="AF241" s="35"/>
      <c r="AG241" s="35"/>
      <c r="AH241" s="35">
        <v>3</v>
      </c>
      <c r="AI241" s="35">
        <v>1037.2</v>
      </c>
      <c r="AJ241" s="35">
        <v>10</v>
      </c>
      <c r="AK241" s="35">
        <v>842.072</v>
      </c>
      <c r="AL241" s="35"/>
      <c r="AM241" s="35"/>
      <c r="AN241" s="36">
        <v>1</v>
      </c>
      <c r="AO241" s="36">
        <v>1080.8800000000001</v>
      </c>
      <c r="AP241" s="36"/>
      <c r="AQ241" s="35"/>
      <c r="AR241" s="35">
        <v>76.52</v>
      </c>
      <c r="AS241" s="35">
        <v>417574.48</v>
      </c>
      <c r="AT241" s="35"/>
      <c r="AU241" s="35"/>
    </row>
    <row r="242" spans="1:47" s="7" customFormat="1" ht="15.75" customHeight="1" x14ac:dyDescent="0.35">
      <c r="A242" s="12" t="s">
        <v>99</v>
      </c>
      <c r="B242" s="33">
        <v>11885.86</v>
      </c>
      <c r="C242" s="35">
        <f t="shared" si="3"/>
        <v>5282.3850000000002</v>
      </c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>
        <v>3</v>
      </c>
      <c r="Q242" s="35">
        <v>1820</v>
      </c>
      <c r="R242" s="35">
        <v>2</v>
      </c>
      <c r="S242" s="35">
        <v>601</v>
      </c>
      <c r="T242" s="35"/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F242" s="35"/>
      <c r="AG242" s="35"/>
      <c r="AH242" s="35"/>
      <c r="AI242" s="35"/>
      <c r="AJ242" s="35">
        <v>3</v>
      </c>
      <c r="AK242" s="35">
        <v>344.26499999999999</v>
      </c>
      <c r="AL242" s="35">
        <v>4</v>
      </c>
      <c r="AM242" s="35">
        <v>2517.12</v>
      </c>
      <c r="AN242" s="36"/>
      <c r="AO242" s="36"/>
      <c r="AP242" s="36"/>
      <c r="AQ242" s="35"/>
      <c r="AR242" s="35"/>
      <c r="AS242" s="35"/>
      <c r="AT242" s="35"/>
      <c r="AU242" s="35"/>
    </row>
    <row r="243" spans="1:47" s="7" customFormat="1" ht="15.75" customHeight="1" x14ac:dyDescent="0.35">
      <c r="A243" s="12" t="s">
        <v>100</v>
      </c>
      <c r="B243" s="33">
        <v>175268.31</v>
      </c>
      <c r="C243" s="35">
        <f t="shared" si="3"/>
        <v>118402.14999999998</v>
      </c>
      <c r="D243" s="35">
        <v>16</v>
      </c>
      <c r="E243" s="35">
        <v>12414</v>
      </c>
      <c r="F243" s="35"/>
      <c r="G243" s="35"/>
      <c r="H243" s="35"/>
      <c r="I243" s="35"/>
      <c r="J243" s="35">
        <f>29+8</f>
        <v>37</v>
      </c>
      <c r="K243" s="35">
        <f>13181.11+9642.38+61379.6</f>
        <v>84203.09</v>
      </c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  <c r="AA243" s="35"/>
      <c r="AB243" s="35"/>
      <c r="AC243" s="35"/>
      <c r="AD243" s="35">
        <v>21</v>
      </c>
      <c r="AE243" s="35">
        <f>4604.28+3250.84+3624</f>
        <v>11479.119999999999</v>
      </c>
      <c r="AF243" s="35"/>
      <c r="AG243" s="35"/>
      <c r="AH243" s="35">
        <v>6</v>
      </c>
      <c r="AI243" s="35">
        <v>2466.1999999999998</v>
      </c>
      <c r="AJ243" s="35">
        <v>20</v>
      </c>
      <c r="AK243" s="35">
        <v>1653.68</v>
      </c>
      <c r="AL243" s="35">
        <v>11</v>
      </c>
      <c r="AM243" s="35">
        <v>4455.01</v>
      </c>
      <c r="AN243" s="36">
        <v>4</v>
      </c>
      <c r="AO243" s="36">
        <v>1731.05</v>
      </c>
      <c r="AP243" s="36"/>
      <c r="AQ243" s="35"/>
      <c r="AR243" s="35"/>
      <c r="AS243" s="35"/>
      <c r="AT243" s="35"/>
      <c r="AU243" s="35"/>
    </row>
    <row r="244" spans="1:47" s="7" customFormat="1" ht="15.75" customHeight="1" x14ac:dyDescent="0.35">
      <c r="A244" s="13" t="s">
        <v>101</v>
      </c>
      <c r="B244" s="33">
        <v>152082.96</v>
      </c>
      <c r="C244" s="35">
        <f t="shared" si="3"/>
        <v>127328.54</v>
      </c>
      <c r="D244" s="35"/>
      <c r="E244" s="35"/>
      <c r="F244" s="35"/>
      <c r="G244" s="35"/>
      <c r="H244" s="35"/>
      <c r="I244" s="35"/>
      <c r="J244" s="35"/>
      <c r="K244" s="35"/>
      <c r="L244" s="35">
        <v>601.4</v>
      </c>
      <c r="M244" s="35">
        <v>98218</v>
      </c>
      <c r="N244" s="35"/>
      <c r="O244" s="35"/>
      <c r="P244" s="35">
        <v>10</v>
      </c>
      <c r="Q244" s="35">
        <f>2430.4+6232.09+2528.76</f>
        <v>11191.25</v>
      </c>
      <c r="R244" s="35"/>
      <c r="S244" s="35"/>
      <c r="T244" s="35"/>
      <c r="U244" s="35"/>
      <c r="V244" s="35">
        <v>5</v>
      </c>
      <c r="W244" s="35">
        <v>6402.31</v>
      </c>
      <c r="X244" s="35"/>
      <c r="Y244" s="35"/>
      <c r="Z244" s="35"/>
      <c r="AA244" s="35"/>
      <c r="AB244" s="35"/>
      <c r="AC244" s="35"/>
      <c r="AD244" s="35">
        <v>37</v>
      </c>
      <c r="AE244" s="35">
        <f>5309.29+5452+6466.52</f>
        <v>17227.810000000001</v>
      </c>
      <c r="AF244" s="35"/>
      <c r="AG244" s="35"/>
      <c r="AH244" s="35">
        <v>2</v>
      </c>
      <c r="AI244" s="35">
        <v>691.48</v>
      </c>
      <c r="AJ244" s="35"/>
      <c r="AK244" s="35"/>
      <c r="AL244" s="35"/>
      <c r="AM244" s="35"/>
      <c r="AN244" s="36"/>
      <c r="AO244" s="36"/>
      <c r="AP244" s="36"/>
      <c r="AQ244" s="35"/>
      <c r="AR244" s="35"/>
      <c r="AS244" s="35"/>
      <c r="AT244" s="35"/>
      <c r="AU244" s="35"/>
    </row>
    <row r="245" spans="1:47" s="7" customFormat="1" ht="15.75" customHeight="1" x14ac:dyDescent="0.35">
      <c r="A245" s="13" t="s">
        <v>102</v>
      </c>
      <c r="B245" s="33">
        <v>388756.08</v>
      </c>
      <c r="C245" s="35">
        <f t="shared" si="3"/>
        <v>172078.024</v>
      </c>
      <c r="D245" s="35">
        <v>93.6</v>
      </c>
      <c r="E245" s="35">
        <v>123751</v>
      </c>
      <c r="F245" s="35"/>
      <c r="G245" s="35"/>
      <c r="H245" s="35"/>
      <c r="I245" s="35"/>
      <c r="J245" s="35">
        <v>38</v>
      </c>
      <c r="K245" s="35">
        <v>3103.46</v>
      </c>
      <c r="L245" s="35"/>
      <c r="M245" s="35"/>
      <c r="N245" s="35"/>
      <c r="O245" s="35"/>
      <c r="P245" s="35"/>
      <c r="Q245" s="35"/>
      <c r="R245" s="35">
        <v>1</v>
      </c>
      <c r="S245" s="35">
        <v>376.48</v>
      </c>
      <c r="T245" s="35">
        <v>3</v>
      </c>
      <c r="U245" s="35">
        <v>7734.09</v>
      </c>
      <c r="V245" s="35"/>
      <c r="W245" s="35"/>
      <c r="X245" s="35"/>
      <c r="Y245" s="35"/>
      <c r="Z245" s="35"/>
      <c r="AA245" s="35"/>
      <c r="AB245" s="35"/>
      <c r="AC245" s="35"/>
      <c r="AD245" s="35">
        <v>18</v>
      </c>
      <c r="AE245" s="35">
        <f>4595.58+2413.45</f>
        <v>7009.03</v>
      </c>
      <c r="AF245" s="35"/>
      <c r="AG245" s="35"/>
      <c r="AH245" s="35">
        <v>2</v>
      </c>
      <c r="AI245" s="35">
        <v>691.83399999999995</v>
      </c>
      <c r="AJ245" s="35">
        <v>155</v>
      </c>
      <c r="AK245" s="35">
        <f>1161.85+18606.8+413.26+732</f>
        <v>20913.909999999996</v>
      </c>
      <c r="AL245" s="35">
        <v>11</v>
      </c>
      <c r="AM245" s="35">
        <v>4721.7700000000004</v>
      </c>
      <c r="AN245" s="36">
        <v>2</v>
      </c>
      <c r="AO245" s="36">
        <v>3776.45</v>
      </c>
      <c r="AP245" s="36"/>
      <c r="AQ245" s="35"/>
      <c r="AR245" s="35"/>
      <c r="AS245" s="35"/>
      <c r="AT245" s="35"/>
      <c r="AU245" s="35"/>
    </row>
    <row r="246" spans="1:47" s="7" customFormat="1" ht="15.75" customHeight="1" x14ac:dyDescent="0.35">
      <c r="A246" s="13" t="s">
        <v>103</v>
      </c>
      <c r="B246" s="33">
        <v>84811.68</v>
      </c>
      <c r="C246" s="35">
        <f t="shared" si="3"/>
        <v>155355.22</v>
      </c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>
        <v>2.1</v>
      </c>
      <c r="AA246" s="35">
        <v>5781.4340000000002</v>
      </c>
      <c r="AB246" s="35"/>
      <c r="AC246" s="35"/>
      <c r="AD246" s="35">
        <f>117+6</f>
        <v>123</v>
      </c>
      <c r="AE246" s="35">
        <f>2253.776+65415.52+65803.9</f>
        <v>133473.196</v>
      </c>
      <c r="AF246" s="35"/>
      <c r="AG246" s="35"/>
      <c r="AH246" s="35">
        <v>19</v>
      </c>
      <c r="AI246" s="35">
        <f>2554.8+3246.17+1400.12+7391.5</f>
        <v>14592.59</v>
      </c>
      <c r="AJ246" s="35">
        <v>20</v>
      </c>
      <c r="AK246" s="35">
        <v>1508</v>
      </c>
      <c r="AL246" s="35"/>
      <c r="AM246" s="35"/>
      <c r="AN246" s="36"/>
      <c r="AO246" s="36"/>
      <c r="AP246" s="36"/>
      <c r="AQ246" s="35"/>
      <c r="AR246" s="35"/>
      <c r="AS246" s="35"/>
      <c r="AT246" s="35"/>
      <c r="AU246" s="35"/>
    </row>
    <row r="247" spans="1:47" s="7" customFormat="1" ht="15.75" customHeight="1" x14ac:dyDescent="0.35">
      <c r="A247" s="50" t="s">
        <v>104</v>
      </c>
      <c r="B247" s="51">
        <v>510693.96</v>
      </c>
      <c r="C247" s="35">
        <f t="shared" si="3"/>
        <v>28145.57</v>
      </c>
      <c r="D247" s="41"/>
      <c r="E247" s="41"/>
      <c r="F247" s="41"/>
      <c r="G247" s="41"/>
      <c r="H247" s="41"/>
      <c r="I247" s="41"/>
      <c r="J247" s="41">
        <v>17</v>
      </c>
      <c r="K247" s="41">
        <f>1325.61+3659.92</f>
        <v>4985.53</v>
      </c>
      <c r="L247" s="41"/>
      <c r="M247" s="41"/>
      <c r="N247" s="41"/>
      <c r="O247" s="41"/>
      <c r="P247" s="41">
        <v>6</v>
      </c>
      <c r="Q247" s="41">
        <v>2610.56</v>
      </c>
      <c r="R247" s="41">
        <v>7</v>
      </c>
      <c r="S247" s="41">
        <f>752.95+1867.3+301</f>
        <v>2921.25</v>
      </c>
      <c r="T247" s="41"/>
      <c r="U247" s="41"/>
      <c r="V247" s="41"/>
      <c r="W247" s="41"/>
      <c r="X247" s="41"/>
      <c r="Y247" s="41"/>
      <c r="Z247" s="41"/>
      <c r="AA247" s="41"/>
      <c r="AB247" s="41"/>
      <c r="AC247" s="41"/>
      <c r="AD247" s="41">
        <v>6</v>
      </c>
      <c r="AE247" s="41">
        <f>2156.16+1229.18</f>
        <v>3385.34</v>
      </c>
      <c r="AF247" s="41">
        <v>1</v>
      </c>
      <c r="AG247" s="41">
        <v>4626.3900000000003</v>
      </c>
      <c r="AH247" s="41">
        <v>1</v>
      </c>
      <c r="AI247" s="41">
        <v>1484.5</v>
      </c>
      <c r="AJ247" s="41">
        <v>25</v>
      </c>
      <c r="AK247" s="41">
        <v>2844</v>
      </c>
      <c r="AL247" s="41"/>
      <c r="AM247" s="41"/>
      <c r="AN247" s="42">
        <v>2</v>
      </c>
      <c r="AO247" s="42">
        <v>5288</v>
      </c>
      <c r="AP247" s="42"/>
      <c r="AQ247" s="41"/>
      <c r="AR247" s="41"/>
      <c r="AS247" s="41"/>
      <c r="AT247" s="41"/>
      <c r="AU247" s="41"/>
    </row>
    <row r="248" spans="1:47" s="7" customFormat="1" ht="15.75" customHeight="1" x14ac:dyDescent="0.35">
      <c r="A248" s="13" t="s">
        <v>105</v>
      </c>
      <c r="B248" s="33">
        <v>89065.56</v>
      </c>
      <c r="C248" s="35">
        <f t="shared" si="3"/>
        <v>21392.54</v>
      </c>
      <c r="D248" s="35"/>
      <c r="E248" s="35"/>
      <c r="F248" s="35"/>
      <c r="G248" s="35"/>
      <c r="H248" s="35"/>
      <c r="I248" s="35"/>
      <c r="J248" s="35">
        <f>23+15+6.75</f>
        <v>44.75</v>
      </c>
      <c r="K248" s="35">
        <f>756.68+14449.44+3231+876.91</f>
        <v>19314.030000000002</v>
      </c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  <c r="AA248" s="35"/>
      <c r="AB248" s="35"/>
      <c r="AC248" s="35"/>
      <c r="AD248" s="35">
        <v>2</v>
      </c>
      <c r="AE248" s="35">
        <v>1849</v>
      </c>
      <c r="AF248" s="35"/>
      <c r="AG248" s="35"/>
      <c r="AH248" s="35"/>
      <c r="AI248" s="35"/>
      <c r="AJ248" s="35">
        <v>3</v>
      </c>
      <c r="AK248" s="35">
        <v>229.51</v>
      </c>
      <c r="AL248" s="35"/>
      <c r="AM248" s="35"/>
      <c r="AN248" s="36"/>
      <c r="AO248" s="36"/>
      <c r="AP248" s="36"/>
      <c r="AQ248" s="35"/>
      <c r="AR248" s="35"/>
      <c r="AS248" s="35"/>
      <c r="AT248" s="35"/>
      <c r="AU248" s="35"/>
    </row>
    <row r="249" spans="1:47" s="7" customFormat="1" ht="15.75" customHeight="1" x14ac:dyDescent="0.35">
      <c r="A249" s="13" t="s">
        <v>106</v>
      </c>
      <c r="B249" s="33">
        <v>88447.2</v>
      </c>
      <c r="C249" s="35">
        <f t="shared" si="3"/>
        <v>12361.98</v>
      </c>
      <c r="D249" s="35"/>
      <c r="E249" s="35"/>
      <c r="F249" s="35"/>
      <c r="G249" s="35"/>
      <c r="H249" s="35"/>
      <c r="I249" s="35"/>
      <c r="J249" s="35">
        <v>27</v>
      </c>
      <c r="K249" s="35">
        <v>2277.39</v>
      </c>
      <c r="L249" s="35"/>
      <c r="M249" s="35"/>
      <c r="N249" s="35"/>
      <c r="O249" s="35"/>
      <c r="P249" s="35">
        <v>7</v>
      </c>
      <c r="Q249" s="35">
        <v>4008</v>
      </c>
      <c r="R249" s="35"/>
      <c r="S249" s="35"/>
      <c r="T249" s="35"/>
      <c r="U249" s="35"/>
      <c r="V249" s="35"/>
      <c r="W249" s="35"/>
      <c r="X249" s="35"/>
      <c r="Y249" s="35"/>
      <c r="Z249" s="35"/>
      <c r="AA249" s="35"/>
      <c r="AB249" s="35"/>
      <c r="AC249" s="35"/>
      <c r="AD249" s="35">
        <v>5</v>
      </c>
      <c r="AE249" s="35">
        <v>4432.49</v>
      </c>
      <c r="AF249" s="35"/>
      <c r="AG249" s="35"/>
      <c r="AH249" s="35">
        <v>4</v>
      </c>
      <c r="AI249" s="35">
        <v>1644.1</v>
      </c>
      <c r="AJ249" s="35"/>
      <c r="AK249" s="35"/>
      <c r="AL249" s="35"/>
      <c r="AM249" s="35"/>
      <c r="AN249" s="36"/>
      <c r="AO249" s="36"/>
      <c r="AP249" s="36"/>
      <c r="AQ249" s="35"/>
      <c r="AR249" s="35"/>
      <c r="AS249" s="35"/>
      <c r="AT249" s="35"/>
      <c r="AU249" s="35"/>
    </row>
    <row r="250" spans="1:47" s="7" customFormat="1" ht="15.75" customHeight="1" x14ac:dyDescent="0.35">
      <c r="A250" s="13" t="s">
        <v>107</v>
      </c>
      <c r="B250" s="33">
        <v>268803.84000000003</v>
      </c>
      <c r="C250" s="35">
        <f t="shared" si="3"/>
        <v>173890.06</v>
      </c>
      <c r="D250" s="35"/>
      <c r="E250" s="35"/>
      <c r="F250" s="35"/>
      <c r="G250" s="35"/>
      <c r="H250" s="35">
        <v>30</v>
      </c>
      <c r="I250" s="35">
        <v>115785</v>
      </c>
      <c r="J250" s="35">
        <v>8.75</v>
      </c>
      <c r="K250" s="35">
        <v>657.11</v>
      </c>
      <c r="L250" s="35"/>
      <c r="M250" s="35"/>
      <c r="N250" s="35"/>
      <c r="O250" s="35"/>
      <c r="P250" s="35">
        <v>8</v>
      </c>
      <c r="Q250" s="35">
        <v>5979.7</v>
      </c>
      <c r="R250" s="35"/>
      <c r="S250" s="35"/>
      <c r="T250" s="35"/>
      <c r="U250" s="35"/>
      <c r="V250" s="35"/>
      <c r="W250" s="35"/>
      <c r="X250" s="35"/>
      <c r="Y250" s="35"/>
      <c r="Z250" s="35">
        <v>3.1</v>
      </c>
      <c r="AA250" s="35">
        <f>5781.43+1799.04</f>
        <v>7580.47</v>
      </c>
      <c r="AB250" s="35"/>
      <c r="AC250" s="35"/>
      <c r="AD250" s="35">
        <v>36</v>
      </c>
      <c r="AE250" s="35">
        <f>36129+1800.42</f>
        <v>37929.42</v>
      </c>
      <c r="AF250" s="35"/>
      <c r="AG250" s="35"/>
      <c r="AH250" s="35">
        <v>7</v>
      </c>
      <c r="AI250" s="35">
        <f>1842+193.8</f>
        <v>2035.8</v>
      </c>
      <c r="AJ250" s="35"/>
      <c r="AK250" s="35"/>
      <c r="AL250" s="35"/>
      <c r="AM250" s="35"/>
      <c r="AN250" s="36">
        <v>2</v>
      </c>
      <c r="AO250" s="36">
        <v>3922.56</v>
      </c>
      <c r="AP250" s="36"/>
      <c r="AQ250" s="35"/>
      <c r="AR250" s="35"/>
      <c r="AS250" s="35"/>
      <c r="AT250" s="35"/>
      <c r="AU250" s="35"/>
    </row>
    <row r="251" spans="1:47" s="7" customFormat="1" ht="15.75" customHeight="1" x14ac:dyDescent="0.35">
      <c r="A251" s="13" t="s">
        <v>108</v>
      </c>
      <c r="B251" s="33">
        <v>224923.56</v>
      </c>
      <c r="C251" s="35">
        <f t="shared" si="3"/>
        <v>2761.88</v>
      </c>
      <c r="D251" s="35"/>
      <c r="E251" s="35"/>
      <c r="F251" s="35"/>
      <c r="G251" s="35"/>
      <c r="H251" s="35"/>
      <c r="I251" s="35"/>
      <c r="J251" s="35">
        <v>16.5</v>
      </c>
      <c r="K251" s="35">
        <v>1488.87</v>
      </c>
      <c r="L251" s="35"/>
      <c r="M251" s="35"/>
      <c r="N251" s="35"/>
      <c r="O251" s="35"/>
      <c r="P251" s="35">
        <v>2</v>
      </c>
      <c r="Q251" s="35">
        <v>1273.01</v>
      </c>
      <c r="R251" s="35"/>
      <c r="S251" s="35"/>
      <c r="T251" s="35"/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F251" s="35"/>
      <c r="AG251" s="35"/>
      <c r="AH251" s="35"/>
      <c r="AI251" s="35"/>
      <c r="AJ251" s="35"/>
      <c r="AK251" s="35"/>
      <c r="AL251" s="35"/>
      <c r="AM251" s="35"/>
      <c r="AN251" s="36"/>
      <c r="AO251" s="36"/>
      <c r="AP251" s="36"/>
      <c r="AQ251" s="35"/>
      <c r="AR251" s="35"/>
      <c r="AS251" s="35"/>
      <c r="AT251" s="35"/>
      <c r="AU251" s="35"/>
    </row>
    <row r="252" spans="1:47" s="7" customFormat="1" ht="15.75" customHeight="1" x14ac:dyDescent="0.35">
      <c r="A252" s="13" t="s">
        <v>109</v>
      </c>
      <c r="B252" s="33">
        <v>191302.32</v>
      </c>
      <c r="C252" s="35">
        <f t="shared" si="3"/>
        <v>2430.4</v>
      </c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>
        <v>5</v>
      </c>
      <c r="Q252" s="35">
        <v>2430.4</v>
      </c>
      <c r="R252" s="35"/>
      <c r="S252" s="35"/>
      <c r="T252" s="35"/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F252" s="35"/>
      <c r="AG252" s="35"/>
      <c r="AH252" s="35"/>
      <c r="AI252" s="35"/>
      <c r="AJ252" s="35"/>
      <c r="AK252" s="35"/>
      <c r="AL252" s="35"/>
      <c r="AM252" s="35"/>
      <c r="AN252" s="36"/>
      <c r="AO252" s="36"/>
      <c r="AP252" s="36"/>
      <c r="AQ252" s="35"/>
      <c r="AR252" s="35"/>
      <c r="AS252" s="35"/>
      <c r="AT252" s="35"/>
      <c r="AU252" s="35"/>
    </row>
    <row r="253" spans="1:47" s="7" customFormat="1" ht="15.75" customHeight="1" x14ac:dyDescent="0.35">
      <c r="A253" s="13" t="s">
        <v>110</v>
      </c>
      <c r="B253" s="33">
        <v>55803.24</v>
      </c>
      <c r="C253" s="35">
        <f t="shared" si="3"/>
        <v>64019.28</v>
      </c>
      <c r="D253" s="35"/>
      <c r="E253" s="35"/>
      <c r="F253" s="35"/>
      <c r="G253" s="35"/>
      <c r="H253" s="35"/>
      <c r="I253" s="35"/>
      <c r="J253" s="35">
        <f>5.25+2.45</f>
        <v>7.7</v>
      </c>
      <c r="K253" s="35">
        <f>644+982.26</f>
        <v>1626.26</v>
      </c>
      <c r="L253" s="35"/>
      <c r="M253" s="35"/>
      <c r="N253" s="35"/>
      <c r="O253" s="35"/>
      <c r="P253" s="35">
        <v>6</v>
      </c>
      <c r="Q253" s="35">
        <v>2752</v>
      </c>
      <c r="R253" s="35"/>
      <c r="S253" s="35"/>
      <c r="T253" s="35"/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F253" s="35"/>
      <c r="AG253" s="35"/>
      <c r="AH253" s="35"/>
      <c r="AI253" s="35"/>
      <c r="AJ253" s="35"/>
      <c r="AK253" s="35"/>
      <c r="AL253" s="35"/>
      <c r="AM253" s="35"/>
      <c r="AN253" s="36"/>
      <c r="AO253" s="36"/>
      <c r="AP253" s="36"/>
      <c r="AQ253" s="35"/>
      <c r="AR253" s="35">
        <v>10.93</v>
      </c>
      <c r="AS253" s="35">
        <v>59641.02</v>
      </c>
      <c r="AT253" s="35"/>
      <c r="AU253" s="35"/>
    </row>
    <row r="254" spans="1:47" s="7" customFormat="1" ht="15.75" customHeight="1" x14ac:dyDescent="0.35">
      <c r="A254" s="13" t="s">
        <v>111</v>
      </c>
      <c r="B254" s="33">
        <v>123494.64</v>
      </c>
      <c r="C254" s="35">
        <f t="shared" si="3"/>
        <v>8268.69</v>
      </c>
      <c r="D254" s="35"/>
      <c r="E254" s="35"/>
      <c r="F254" s="35"/>
      <c r="G254" s="35"/>
      <c r="H254" s="35"/>
      <c r="I254" s="35"/>
      <c r="J254" s="35">
        <v>20.5</v>
      </c>
      <c r="K254" s="35">
        <v>1789.26</v>
      </c>
      <c r="L254" s="35"/>
      <c r="M254" s="35"/>
      <c r="N254" s="35"/>
      <c r="O254" s="35"/>
      <c r="P254" s="35">
        <v>1</v>
      </c>
      <c r="Q254" s="35">
        <v>565.26</v>
      </c>
      <c r="R254" s="35"/>
      <c r="S254" s="35"/>
      <c r="T254" s="35"/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F254" s="35"/>
      <c r="AG254" s="35"/>
      <c r="AH254" s="35"/>
      <c r="AI254" s="35"/>
      <c r="AJ254" s="35"/>
      <c r="AK254" s="35"/>
      <c r="AL254" s="35">
        <v>3</v>
      </c>
      <c r="AM254" s="35">
        <v>3982.97</v>
      </c>
      <c r="AN254" s="36">
        <v>1</v>
      </c>
      <c r="AO254" s="36">
        <v>1931.2</v>
      </c>
      <c r="AP254" s="36"/>
      <c r="AQ254" s="35"/>
      <c r="AR254" s="35"/>
      <c r="AS254" s="35"/>
      <c r="AT254" s="35"/>
      <c r="AU254" s="35"/>
    </row>
    <row r="255" spans="1:47" s="7" customFormat="1" ht="15.75" customHeight="1" x14ac:dyDescent="0.35">
      <c r="A255" s="13" t="s">
        <v>112</v>
      </c>
      <c r="B255" s="33">
        <v>231943.08</v>
      </c>
      <c r="C255" s="35">
        <f t="shared" si="3"/>
        <v>17204.32</v>
      </c>
      <c r="D255" s="35"/>
      <c r="E255" s="35"/>
      <c r="F255" s="35"/>
      <c r="G255" s="35"/>
      <c r="H255" s="35"/>
      <c r="I255" s="35"/>
      <c r="J255" s="35">
        <v>8.75</v>
      </c>
      <c r="K255" s="35">
        <v>657.11</v>
      </c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  <c r="AB255" s="35"/>
      <c r="AC255" s="35"/>
      <c r="AD255" s="35">
        <v>17</v>
      </c>
      <c r="AE255" s="35">
        <f>3383.47+5612</f>
        <v>8995.4699999999993</v>
      </c>
      <c r="AF255" s="35">
        <v>1</v>
      </c>
      <c r="AG255" s="35">
        <v>3172</v>
      </c>
      <c r="AH255" s="35"/>
      <c r="AI255" s="35"/>
      <c r="AJ255" s="35"/>
      <c r="AK255" s="35"/>
      <c r="AL255" s="35">
        <v>4</v>
      </c>
      <c r="AM255" s="35">
        <v>457.18</v>
      </c>
      <c r="AN255" s="36">
        <v>2</v>
      </c>
      <c r="AO255" s="36">
        <v>3922.56</v>
      </c>
      <c r="AP255" s="36"/>
      <c r="AQ255" s="35"/>
      <c r="AR255" s="35"/>
      <c r="AS255" s="35"/>
      <c r="AT255" s="35"/>
      <c r="AU255" s="35"/>
    </row>
    <row r="256" spans="1:47" s="7" customFormat="1" ht="15.75" customHeight="1" x14ac:dyDescent="0.35">
      <c r="A256" s="13" t="s">
        <v>113</v>
      </c>
      <c r="B256" s="33">
        <v>97700</v>
      </c>
      <c r="C256" s="35">
        <f t="shared" si="3"/>
        <v>51417.619999999995</v>
      </c>
      <c r="D256" s="35"/>
      <c r="E256" s="35"/>
      <c r="F256" s="35"/>
      <c r="G256" s="35"/>
      <c r="H256" s="35"/>
      <c r="I256" s="35"/>
      <c r="J256" s="35">
        <v>18</v>
      </c>
      <c r="K256" s="35">
        <v>1351.75</v>
      </c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  <c r="AA256" s="35"/>
      <c r="AB256" s="35"/>
      <c r="AC256" s="35"/>
      <c r="AD256" s="35">
        <v>3</v>
      </c>
      <c r="AE256" s="35">
        <v>40648</v>
      </c>
      <c r="AF256" s="35"/>
      <c r="AG256" s="35"/>
      <c r="AH256" s="35"/>
      <c r="AI256" s="35"/>
      <c r="AJ256" s="35">
        <v>55</v>
      </c>
      <c r="AK256" s="35">
        <v>7273.73</v>
      </c>
      <c r="AL256" s="35">
        <v>6</v>
      </c>
      <c r="AM256" s="35">
        <v>2144.14</v>
      </c>
      <c r="AN256" s="36"/>
      <c r="AO256" s="36"/>
      <c r="AP256" s="36"/>
      <c r="AQ256" s="35"/>
      <c r="AR256" s="35"/>
      <c r="AS256" s="35"/>
      <c r="AT256" s="35"/>
      <c r="AU256" s="35"/>
    </row>
    <row r="257" spans="1:47" s="7" customFormat="1" ht="15.75" customHeight="1" x14ac:dyDescent="0.35">
      <c r="A257" s="13" t="s">
        <v>114</v>
      </c>
      <c r="B257" s="33">
        <v>95534.28</v>
      </c>
      <c r="C257" s="35">
        <f t="shared" si="3"/>
        <v>159990.99900000001</v>
      </c>
      <c r="D257" s="35">
        <v>4</v>
      </c>
      <c r="E257" s="35">
        <v>672.06899999999996</v>
      </c>
      <c r="F257" s="35"/>
      <c r="G257" s="35"/>
      <c r="H257" s="35"/>
      <c r="I257" s="35"/>
      <c r="J257" s="35">
        <v>3</v>
      </c>
      <c r="K257" s="35">
        <v>475.06</v>
      </c>
      <c r="L257" s="35"/>
      <c r="M257" s="35"/>
      <c r="N257" s="35"/>
      <c r="O257" s="35"/>
      <c r="P257" s="35">
        <v>23</v>
      </c>
      <c r="Q257" s="35">
        <v>4126</v>
      </c>
      <c r="R257" s="35"/>
      <c r="S257" s="35"/>
      <c r="T257" s="35">
        <v>44</v>
      </c>
      <c r="U257" s="35">
        <v>11664</v>
      </c>
      <c r="V257" s="35"/>
      <c r="W257" s="35"/>
      <c r="X257" s="35"/>
      <c r="Y257" s="35"/>
      <c r="Z257" s="35"/>
      <c r="AA257" s="35"/>
      <c r="AB257" s="35"/>
      <c r="AC257" s="35"/>
      <c r="AD257" s="35">
        <v>23</v>
      </c>
      <c r="AE257" s="35">
        <v>18573</v>
      </c>
      <c r="AF257" s="35"/>
      <c r="AG257" s="35"/>
      <c r="AH257" s="35"/>
      <c r="AI257" s="35"/>
      <c r="AJ257" s="35">
        <v>106</v>
      </c>
      <c r="AK257" s="35">
        <v>7930</v>
      </c>
      <c r="AL257" s="35">
        <v>10</v>
      </c>
      <c r="AM257" s="35">
        <v>7534.77</v>
      </c>
      <c r="AN257" s="36">
        <v>8</v>
      </c>
      <c r="AO257" s="36">
        <f>1894.94+2217.49+4156</f>
        <v>8268.43</v>
      </c>
      <c r="AP257" s="36"/>
      <c r="AQ257" s="35">
        <v>19014.14</v>
      </c>
      <c r="AR257" s="35">
        <v>14.98</v>
      </c>
      <c r="AS257" s="35">
        <v>81733.53</v>
      </c>
      <c r="AT257" s="35"/>
      <c r="AU257" s="35"/>
    </row>
    <row r="258" spans="1:47" s="7" customFormat="1" ht="15.75" customHeight="1" x14ac:dyDescent="0.35">
      <c r="A258" s="13" t="s">
        <v>115</v>
      </c>
      <c r="B258" s="33">
        <v>78760.320000000007</v>
      </c>
      <c r="C258" s="35">
        <f t="shared" si="3"/>
        <v>75667.200000000012</v>
      </c>
      <c r="D258" s="35"/>
      <c r="E258" s="35"/>
      <c r="F258" s="35"/>
      <c r="G258" s="35"/>
      <c r="H258" s="35"/>
      <c r="I258" s="35"/>
      <c r="J258" s="35">
        <v>3</v>
      </c>
      <c r="K258" s="35">
        <v>475.06</v>
      </c>
      <c r="L258" s="35"/>
      <c r="M258" s="35"/>
      <c r="N258" s="35"/>
      <c r="O258" s="35"/>
      <c r="P258" s="35"/>
      <c r="Q258" s="35"/>
      <c r="R258" s="35">
        <v>1</v>
      </c>
      <c r="S258" s="35">
        <v>378.54</v>
      </c>
      <c r="T258" s="35">
        <v>9</v>
      </c>
      <c r="U258" s="35">
        <v>18303</v>
      </c>
      <c r="V258" s="35"/>
      <c r="W258" s="35"/>
      <c r="X258" s="35"/>
      <c r="Y258" s="35"/>
      <c r="Z258" s="35">
        <v>5</v>
      </c>
      <c r="AA258" s="35">
        <v>13983.33</v>
      </c>
      <c r="AB258" s="35"/>
      <c r="AC258" s="35"/>
      <c r="AD258" s="35">
        <v>50</v>
      </c>
      <c r="AE258" s="35">
        <v>38032.800000000003</v>
      </c>
      <c r="AF258" s="35"/>
      <c r="AG258" s="35"/>
      <c r="AH258" s="35">
        <v>6</v>
      </c>
      <c r="AI258" s="35">
        <v>3182.7</v>
      </c>
      <c r="AJ258" s="35"/>
      <c r="AK258" s="35"/>
      <c r="AL258" s="35"/>
      <c r="AM258" s="35"/>
      <c r="AN258" s="36">
        <v>2</v>
      </c>
      <c r="AO258" s="36">
        <f>432.77+879</f>
        <v>1311.77</v>
      </c>
      <c r="AP258" s="36"/>
      <c r="AQ258" s="35"/>
      <c r="AR258" s="35"/>
      <c r="AS258" s="35"/>
      <c r="AT258" s="35"/>
      <c r="AU258" s="35"/>
    </row>
    <row r="259" spans="1:47" s="7" customFormat="1" ht="15.75" customHeight="1" x14ac:dyDescent="0.35">
      <c r="A259" s="13" t="s">
        <v>116</v>
      </c>
      <c r="B259" s="33">
        <v>25630.68</v>
      </c>
      <c r="C259" s="35">
        <f t="shared" si="3"/>
        <v>25760.270000000004</v>
      </c>
      <c r="D259" s="35"/>
      <c r="E259" s="35"/>
      <c r="F259" s="35"/>
      <c r="G259" s="35"/>
      <c r="H259" s="35"/>
      <c r="I259" s="35"/>
      <c r="J259" s="35">
        <v>3</v>
      </c>
      <c r="K259" s="35">
        <v>475.06</v>
      </c>
      <c r="L259" s="35"/>
      <c r="M259" s="35"/>
      <c r="N259" s="35"/>
      <c r="O259" s="35"/>
      <c r="P259" s="35">
        <v>12</v>
      </c>
      <c r="Q259" s="35">
        <f>3430.81+2616</f>
        <v>6046.8099999999995</v>
      </c>
      <c r="R259" s="35">
        <v>2</v>
      </c>
      <c r="S259" s="35">
        <f>383.03+376.48</f>
        <v>759.51</v>
      </c>
      <c r="T259" s="35"/>
      <c r="U259" s="35"/>
      <c r="V259" s="35"/>
      <c r="W259" s="35"/>
      <c r="X259" s="35"/>
      <c r="Y259" s="35"/>
      <c r="Z259" s="35"/>
      <c r="AA259" s="35"/>
      <c r="AB259" s="35"/>
      <c r="AC259" s="35"/>
      <c r="AD259" s="35">
        <v>7</v>
      </c>
      <c r="AE259" s="35">
        <v>8780.7900000000009</v>
      </c>
      <c r="AF259" s="35"/>
      <c r="AG259" s="35"/>
      <c r="AH259" s="35"/>
      <c r="AI259" s="35"/>
      <c r="AJ259" s="35"/>
      <c r="AK259" s="35"/>
      <c r="AL259" s="35"/>
      <c r="AM259" s="35"/>
      <c r="AN259" s="36">
        <v>4</v>
      </c>
      <c r="AO259" s="36">
        <f>432.77+4026</f>
        <v>4458.7700000000004</v>
      </c>
      <c r="AP259" s="36"/>
      <c r="AQ259" s="35"/>
      <c r="AR259" s="35">
        <v>4.51</v>
      </c>
      <c r="AS259" s="35">
        <v>5239.33</v>
      </c>
      <c r="AT259" s="35"/>
      <c r="AU259" s="35"/>
    </row>
    <row r="260" spans="1:47" s="7" customFormat="1" ht="15.75" customHeight="1" x14ac:dyDescent="0.35">
      <c r="A260" s="13" t="s">
        <v>117</v>
      </c>
      <c r="B260" s="33">
        <v>110412.84</v>
      </c>
      <c r="C260" s="35">
        <f t="shared" si="3"/>
        <v>99776.5478</v>
      </c>
      <c r="D260" s="35">
        <v>4</v>
      </c>
      <c r="E260" s="35">
        <v>2732.0068000000001</v>
      </c>
      <c r="F260" s="35"/>
      <c r="G260" s="35"/>
      <c r="H260" s="35"/>
      <c r="I260" s="35"/>
      <c r="J260" s="35">
        <v>30</v>
      </c>
      <c r="K260" s="35">
        <v>9554.81</v>
      </c>
      <c r="L260" s="35"/>
      <c r="M260" s="35"/>
      <c r="N260" s="35"/>
      <c r="O260" s="35"/>
      <c r="P260" s="35"/>
      <c r="Q260" s="35"/>
      <c r="R260" s="35"/>
      <c r="S260" s="35"/>
      <c r="T260" s="35">
        <v>8</v>
      </c>
      <c r="U260" s="35">
        <f>1871+2121</f>
        <v>3992</v>
      </c>
      <c r="V260" s="35"/>
      <c r="W260" s="35"/>
      <c r="X260" s="35"/>
      <c r="Y260" s="35"/>
      <c r="Z260" s="35"/>
      <c r="AA260" s="35"/>
      <c r="AB260" s="35"/>
      <c r="AC260" s="35"/>
      <c r="AD260" s="35">
        <v>8.1999999999999993</v>
      </c>
      <c r="AE260" s="35">
        <v>2255.35</v>
      </c>
      <c r="AF260" s="35"/>
      <c r="AG260" s="35"/>
      <c r="AH260" s="35">
        <v>1</v>
      </c>
      <c r="AI260" s="35">
        <v>474.63099999999997</v>
      </c>
      <c r="AJ260" s="35"/>
      <c r="AK260" s="35"/>
      <c r="AL260" s="35"/>
      <c r="AM260" s="35"/>
      <c r="AN260" s="36">
        <v>3</v>
      </c>
      <c r="AO260" s="36">
        <f>1128+432.77+879</f>
        <v>2439.77</v>
      </c>
      <c r="AP260" s="36"/>
      <c r="AQ260" s="35"/>
      <c r="AR260" s="35">
        <v>18.100000000000001</v>
      </c>
      <c r="AS260" s="35">
        <v>78327.98</v>
      </c>
      <c r="AT260" s="35"/>
      <c r="AU260" s="35"/>
    </row>
    <row r="261" spans="1:47" s="7" customFormat="1" ht="15.75" customHeight="1" x14ac:dyDescent="0.35">
      <c r="A261" s="17" t="s">
        <v>118</v>
      </c>
      <c r="B261" s="32">
        <v>105162.84</v>
      </c>
      <c r="C261" s="35">
        <f t="shared" si="3"/>
        <v>49749.74</v>
      </c>
      <c r="D261" s="52"/>
      <c r="E261" s="52"/>
      <c r="F261" s="52"/>
      <c r="G261" s="52"/>
      <c r="H261" s="52"/>
      <c r="I261" s="52"/>
      <c r="J261" s="52">
        <v>3</v>
      </c>
      <c r="K261" s="52">
        <v>475.06</v>
      </c>
      <c r="L261" s="52"/>
      <c r="M261" s="52"/>
      <c r="N261" s="52"/>
      <c r="O261" s="52"/>
      <c r="P261" s="52">
        <v>2</v>
      </c>
      <c r="Q261" s="52">
        <v>2959</v>
      </c>
      <c r="R261" s="52">
        <v>1</v>
      </c>
      <c r="S261" s="52">
        <v>559.85</v>
      </c>
      <c r="T261" s="52"/>
      <c r="U261" s="52"/>
      <c r="V261" s="52"/>
      <c r="W261" s="52"/>
      <c r="X261" s="52"/>
      <c r="Y261" s="52"/>
      <c r="Z261" s="52"/>
      <c r="AA261" s="52"/>
      <c r="AB261" s="52"/>
      <c r="AC261" s="52"/>
      <c r="AD261" s="52">
        <v>3</v>
      </c>
      <c r="AE261" s="52">
        <v>783</v>
      </c>
      <c r="AF261" s="52"/>
      <c r="AG261" s="52"/>
      <c r="AH261" s="52"/>
      <c r="AI261" s="52"/>
      <c r="AJ261" s="52"/>
      <c r="AK261" s="52"/>
      <c r="AL261" s="52"/>
      <c r="AM261" s="52"/>
      <c r="AN261" s="53">
        <v>2</v>
      </c>
      <c r="AO261" s="53">
        <f>432.77+879</f>
        <v>1311.77</v>
      </c>
      <c r="AP261" s="53"/>
      <c r="AQ261" s="52"/>
      <c r="AR261" s="52">
        <v>8</v>
      </c>
      <c r="AS261" s="52">
        <v>43661.06</v>
      </c>
      <c r="AT261" s="52"/>
      <c r="AU261" s="52"/>
    </row>
    <row r="262" spans="1:47" s="7" customFormat="1" ht="15.75" customHeight="1" x14ac:dyDescent="0.35">
      <c r="A262" s="13" t="s">
        <v>119</v>
      </c>
      <c r="B262" s="33">
        <v>37602.480000000003</v>
      </c>
      <c r="C262" s="35">
        <f t="shared" si="3"/>
        <v>163481.24</v>
      </c>
      <c r="D262" s="35"/>
      <c r="E262" s="35"/>
      <c r="F262" s="35"/>
      <c r="G262" s="35"/>
      <c r="H262" s="35"/>
      <c r="I262" s="35"/>
      <c r="J262" s="35">
        <v>35</v>
      </c>
      <c r="K262" s="35">
        <f>475.06+9554.81</f>
        <v>10029.869999999999</v>
      </c>
      <c r="L262" s="35"/>
      <c r="M262" s="35"/>
      <c r="N262" s="35"/>
      <c r="O262" s="35"/>
      <c r="P262" s="35">
        <v>13</v>
      </c>
      <c r="Q262" s="35">
        <f>2365.88+2509</f>
        <v>4874.88</v>
      </c>
      <c r="R262" s="35"/>
      <c r="S262" s="35"/>
      <c r="T262" s="35">
        <v>33</v>
      </c>
      <c r="U262" s="35">
        <f>8596.12+41895</f>
        <v>50491.12</v>
      </c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F262" s="35"/>
      <c r="AG262" s="35"/>
      <c r="AH262" s="35"/>
      <c r="AI262" s="35"/>
      <c r="AJ262" s="35"/>
      <c r="AK262" s="35"/>
      <c r="AL262" s="35"/>
      <c r="AM262" s="35"/>
      <c r="AN262" s="36">
        <v>1</v>
      </c>
      <c r="AO262" s="36">
        <f>432.77+987</f>
        <v>1419.77</v>
      </c>
      <c r="AP262" s="36"/>
      <c r="AQ262" s="35"/>
      <c r="AR262" s="35">
        <v>17.72</v>
      </c>
      <c r="AS262" s="35">
        <v>96665.600000000006</v>
      </c>
      <c r="AT262" s="35"/>
      <c r="AU262" s="35"/>
    </row>
    <row r="263" spans="1:47" s="7" customFormat="1" ht="15.75" customHeight="1" x14ac:dyDescent="0.35">
      <c r="A263" s="13" t="s">
        <v>120</v>
      </c>
      <c r="B263" s="33">
        <v>103532.04</v>
      </c>
      <c r="C263" s="35">
        <f t="shared" si="3"/>
        <v>285611.2254</v>
      </c>
      <c r="D263" s="35">
        <v>36</v>
      </c>
      <c r="E263" s="35">
        <v>17305.669999999998</v>
      </c>
      <c r="F263" s="35"/>
      <c r="G263" s="35"/>
      <c r="H263" s="35"/>
      <c r="I263" s="35"/>
      <c r="J263" s="35">
        <v>36</v>
      </c>
      <c r="K263" s="35">
        <f>9554.81+1230.82+737</f>
        <v>11522.63</v>
      </c>
      <c r="L263" s="35">
        <v>687.3</v>
      </c>
      <c r="M263" s="35">
        <v>138503</v>
      </c>
      <c r="N263" s="35"/>
      <c r="O263" s="35"/>
      <c r="P263" s="35">
        <v>13</v>
      </c>
      <c r="Q263" s="35">
        <f>4000.18+1002</f>
        <v>5002.18</v>
      </c>
      <c r="R263" s="35"/>
      <c r="S263" s="35"/>
      <c r="T263" s="35">
        <v>6</v>
      </c>
      <c r="U263" s="35">
        <v>6834.32</v>
      </c>
      <c r="V263" s="35"/>
      <c r="W263" s="35"/>
      <c r="X263" s="35">
        <v>11</v>
      </c>
      <c r="Y263" s="35">
        <f>1531.6754+1849</f>
        <v>3380.6754000000001</v>
      </c>
      <c r="Z263" s="35"/>
      <c r="AA263" s="35"/>
      <c r="AB263" s="35"/>
      <c r="AC263" s="35"/>
      <c r="AD263" s="35"/>
      <c r="AE263" s="35"/>
      <c r="AF263" s="35"/>
      <c r="AG263" s="35"/>
      <c r="AH263" s="35"/>
      <c r="AI263" s="35"/>
      <c r="AJ263" s="35"/>
      <c r="AK263" s="35"/>
      <c r="AL263" s="35"/>
      <c r="AM263" s="35"/>
      <c r="AN263" s="36">
        <v>2</v>
      </c>
      <c r="AO263" s="36">
        <f>432.77+987</f>
        <v>1419.77</v>
      </c>
      <c r="AP263" s="36"/>
      <c r="AQ263" s="35"/>
      <c r="AR263" s="35">
        <v>15.59</v>
      </c>
      <c r="AS263" s="35">
        <v>101642.98</v>
      </c>
      <c r="AT263" s="35"/>
      <c r="AU263" s="35"/>
    </row>
    <row r="264" spans="1:47" s="7" customFormat="1" ht="15.75" customHeight="1" x14ac:dyDescent="0.35">
      <c r="A264" s="13" t="s">
        <v>121</v>
      </c>
      <c r="B264" s="33">
        <v>97158.720000000001</v>
      </c>
      <c r="C264" s="35">
        <f t="shared" si="3"/>
        <v>21817.670000000002</v>
      </c>
      <c r="D264" s="35"/>
      <c r="E264" s="35"/>
      <c r="F264" s="35"/>
      <c r="G264" s="35"/>
      <c r="H264" s="35"/>
      <c r="I264" s="35"/>
      <c r="J264" s="35">
        <v>6</v>
      </c>
      <c r="K264" s="35">
        <v>950.12</v>
      </c>
      <c r="L264" s="35"/>
      <c r="M264" s="35"/>
      <c r="N264" s="35"/>
      <c r="O264" s="35"/>
      <c r="P264" s="35">
        <v>5</v>
      </c>
      <c r="Q264" s="35">
        <v>1893</v>
      </c>
      <c r="R264" s="35">
        <v>2</v>
      </c>
      <c r="S264" s="35">
        <v>766.07</v>
      </c>
      <c r="T264" s="35"/>
      <c r="U264" s="35"/>
      <c r="V264" s="35"/>
      <c r="W264" s="35"/>
      <c r="X264" s="35">
        <v>4</v>
      </c>
      <c r="Y264" s="35">
        <v>1251.71</v>
      </c>
      <c r="Z264" s="35">
        <v>6</v>
      </c>
      <c r="AA264" s="35">
        <v>13696</v>
      </c>
      <c r="AB264" s="35"/>
      <c r="AC264" s="35"/>
      <c r="AD264" s="35"/>
      <c r="AE264" s="35"/>
      <c r="AF264" s="35"/>
      <c r="AG264" s="35"/>
      <c r="AH264" s="35"/>
      <c r="AI264" s="35"/>
      <c r="AJ264" s="35"/>
      <c r="AK264" s="35"/>
      <c r="AL264" s="35">
        <v>24</v>
      </c>
      <c r="AM264" s="35">
        <v>2828</v>
      </c>
      <c r="AN264" s="36">
        <v>2</v>
      </c>
      <c r="AO264" s="36">
        <v>432.77</v>
      </c>
      <c r="AP264" s="36"/>
      <c r="AQ264" s="35"/>
      <c r="AR264" s="35"/>
      <c r="AS264" s="35"/>
      <c r="AT264" s="35"/>
      <c r="AU264" s="35"/>
    </row>
    <row r="265" spans="1:47" s="7" customFormat="1" ht="15.75" customHeight="1" x14ac:dyDescent="0.35">
      <c r="A265" s="12" t="s">
        <v>122</v>
      </c>
      <c r="B265" s="33">
        <v>134215.62</v>
      </c>
      <c r="C265" s="35">
        <f t="shared" si="3"/>
        <v>143298.82999999999</v>
      </c>
      <c r="D265" s="35"/>
      <c r="E265" s="35"/>
      <c r="F265" s="35"/>
      <c r="G265" s="35"/>
      <c r="H265" s="35"/>
      <c r="I265" s="35"/>
      <c r="J265" s="35">
        <v>14.6</v>
      </c>
      <c r="K265" s="35">
        <f>1445.77+627.68</f>
        <v>2073.4499999999998</v>
      </c>
      <c r="L265" s="35"/>
      <c r="M265" s="35"/>
      <c r="N265" s="35"/>
      <c r="O265" s="35"/>
      <c r="P265" s="35"/>
      <c r="Q265" s="35"/>
      <c r="R265" s="35">
        <v>2</v>
      </c>
      <c r="S265" s="35">
        <v>6875.42</v>
      </c>
      <c r="T265" s="35">
        <v>11</v>
      </c>
      <c r="U265" s="35">
        <v>9395</v>
      </c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F265" s="35"/>
      <c r="AG265" s="35"/>
      <c r="AH265" s="35"/>
      <c r="AI265" s="35"/>
      <c r="AJ265" s="35">
        <v>12</v>
      </c>
      <c r="AK265" s="35">
        <v>878</v>
      </c>
      <c r="AL265" s="35">
        <v>18</v>
      </c>
      <c r="AM265" s="35">
        <v>14865.5</v>
      </c>
      <c r="AN265" s="36">
        <v>4</v>
      </c>
      <c r="AO265" s="36">
        <v>4512.21</v>
      </c>
      <c r="AP265" s="36"/>
      <c r="AQ265" s="35"/>
      <c r="AR265" s="35">
        <v>19.190000000000001</v>
      </c>
      <c r="AS265" s="35">
        <v>104699.25</v>
      </c>
      <c r="AT265" s="35"/>
      <c r="AU265" s="35"/>
    </row>
    <row r="266" spans="1:47" s="7" customFormat="1" ht="15.75" customHeight="1" x14ac:dyDescent="0.35">
      <c r="A266" s="12" t="s">
        <v>123</v>
      </c>
      <c r="B266" s="33">
        <v>112899.21</v>
      </c>
      <c r="C266" s="35">
        <f t="shared" si="3"/>
        <v>156965.52000000002</v>
      </c>
      <c r="D266" s="35"/>
      <c r="E266" s="35"/>
      <c r="F266" s="35"/>
      <c r="G266" s="35"/>
      <c r="H266" s="35"/>
      <c r="I266" s="35"/>
      <c r="J266" s="35">
        <v>8</v>
      </c>
      <c r="K266" s="35">
        <f>700.35+627.68</f>
        <v>1328.03</v>
      </c>
      <c r="L266" s="35">
        <v>328</v>
      </c>
      <c r="M266" s="35">
        <v>84069</v>
      </c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  <c r="AA266" s="35"/>
      <c r="AB266" s="35"/>
      <c r="AC266" s="35"/>
      <c r="AD266" s="35">
        <v>3</v>
      </c>
      <c r="AE266" s="35">
        <v>2584</v>
      </c>
      <c r="AF266" s="35"/>
      <c r="AG266" s="35"/>
      <c r="AH266" s="35"/>
      <c r="AI266" s="35"/>
      <c r="AJ266" s="35"/>
      <c r="AK266" s="35"/>
      <c r="AL266" s="35"/>
      <c r="AM266" s="35"/>
      <c r="AN266" s="36"/>
      <c r="AO266" s="36"/>
      <c r="AP266" s="36"/>
      <c r="AQ266" s="35"/>
      <c r="AR266" s="35">
        <v>12.64</v>
      </c>
      <c r="AS266" s="35">
        <v>68984.490000000005</v>
      </c>
      <c r="AT266" s="35"/>
      <c r="AU266" s="35"/>
    </row>
    <row r="267" spans="1:47" s="7" customFormat="1" ht="15.75" customHeight="1" x14ac:dyDescent="0.35">
      <c r="A267" s="12" t="s">
        <v>124</v>
      </c>
      <c r="B267" s="33">
        <v>241316.31</v>
      </c>
      <c r="C267" s="35">
        <f t="shared" si="3"/>
        <v>211952.76740000001</v>
      </c>
      <c r="D267" s="35">
        <v>55</v>
      </c>
      <c r="E267" s="35">
        <f>9242.8574+29513</f>
        <v>38755.857400000001</v>
      </c>
      <c r="F267" s="35"/>
      <c r="G267" s="35"/>
      <c r="H267" s="35"/>
      <c r="I267" s="35"/>
      <c r="J267" s="35">
        <f>13+144+29</f>
        <v>186</v>
      </c>
      <c r="K267" s="35">
        <f>976.26+3908.38+11153.6</f>
        <v>16038.240000000002</v>
      </c>
      <c r="L267" s="35">
        <v>204</v>
      </c>
      <c r="M267" s="35">
        <v>74641</v>
      </c>
      <c r="N267" s="35"/>
      <c r="O267" s="35"/>
      <c r="P267" s="35">
        <v>17</v>
      </c>
      <c r="Q267" s="35">
        <f>5118+4098.86</f>
        <v>9216.86</v>
      </c>
      <c r="R267" s="35"/>
      <c r="S267" s="35"/>
      <c r="T267" s="35"/>
      <c r="U267" s="35"/>
      <c r="V267" s="35"/>
      <c r="W267" s="35"/>
      <c r="X267" s="35">
        <v>3.5</v>
      </c>
      <c r="Y267" s="35">
        <v>8938.43</v>
      </c>
      <c r="Z267" s="35">
        <v>8</v>
      </c>
      <c r="AA267" s="35">
        <v>5465.14</v>
      </c>
      <c r="AB267" s="35"/>
      <c r="AC267" s="35"/>
      <c r="AD267" s="35"/>
      <c r="AE267" s="35"/>
      <c r="AF267" s="35"/>
      <c r="AG267" s="35"/>
      <c r="AH267" s="35"/>
      <c r="AI267" s="35"/>
      <c r="AJ267" s="35">
        <v>30</v>
      </c>
      <c r="AK267" s="35">
        <v>3479.43</v>
      </c>
      <c r="AL267" s="35">
        <v>11</v>
      </c>
      <c r="AM267" s="35">
        <v>12146.4</v>
      </c>
      <c r="AN267" s="36">
        <v>7</v>
      </c>
      <c r="AO267" s="36">
        <v>7761.21</v>
      </c>
      <c r="AP267" s="36"/>
      <c r="AQ267" s="35">
        <v>35510.199999999997</v>
      </c>
      <c r="AR267" s="35"/>
      <c r="AS267" s="35"/>
      <c r="AT267" s="35"/>
      <c r="AU267" s="35"/>
    </row>
    <row r="268" spans="1:47" s="7" customFormat="1" ht="15.75" customHeight="1" x14ac:dyDescent="0.35">
      <c r="A268" s="12" t="s">
        <v>125</v>
      </c>
      <c r="B268" s="33">
        <v>65929.73</v>
      </c>
      <c r="C268" s="35">
        <f t="shared" si="3"/>
        <v>67030.55</v>
      </c>
      <c r="D268" s="35"/>
      <c r="E268" s="35"/>
      <c r="F268" s="35"/>
      <c r="G268" s="35"/>
      <c r="H268" s="35"/>
      <c r="I268" s="35"/>
      <c r="J268" s="35">
        <v>6</v>
      </c>
      <c r="K268" s="35">
        <v>700.35</v>
      </c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>
        <v>24</v>
      </c>
      <c r="Y268" s="35">
        <v>7137.02</v>
      </c>
      <c r="Z268" s="35"/>
      <c r="AA268" s="35"/>
      <c r="AB268" s="35"/>
      <c r="AC268" s="35"/>
      <c r="AD268" s="35">
        <v>20</v>
      </c>
      <c r="AE268" s="35">
        <v>2319.62</v>
      </c>
      <c r="AF268" s="35"/>
      <c r="AG268" s="35"/>
      <c r="AH268" s="35"/>
      <c r="AI268" s="35"/>
      <c r="AJ268" s="35">
        <v>8</v>
      </c>
      <c r="AK268" s="35">
        <v>3075.73</v>
      </c>
      <c r="AL268" s="35"/>
      <c r="AM268" s="35"/>
      <c r="AN268" s="36">
        <v>2</v>
      </c>
      <c r="AO268" s="36">
        <v>880.6</v>
      </c>
      <c r="AP268" s="36"/>
      <c r="AQ268" s="35"/>
      <c r="AR268" s="35">
        <v>9.6999999999999993</v>
      </c>
      <c r="AS268" s="35">
        <v>52917.23</v>
      </c>
      <c r="AT268" s="35"/>
      <c r="AU268" s="35"/>
    </row>
    <row r="269" spans="1:47" s="7" customFormat="1" ht="15.75" customHeight="1" x14ac:dyDescent="0.35">
      <c r="A269" s="12" t="s">
        <v>126</v>
      </c>
      <c r="B269" s="33">
        <v>717181.03</v>
      </c>
      <c r="C269" s="35">
        <f t="shared" ref="C269:C332" si="4">E269+G269+K269+M269+O269+Q269+S269+U269+Y269+AA269+AC269+AE269+AG269+AI269+AK269+AM269+AO269+AQ269+AS269+AU269+I269</f>
        <v>534286.42100000009</v>
      </c>
      <c r="D269" s="35">
        <v>121</v>
      </c>
      <c r="E269" s="35">
        <v>192539.01</v>
      </c>
      <c r="F269" s="35"/>
      <c r="G269" s="35"/>
      <c r="H269" s="35"/>
      <c r="I269" s="35"/>
      <c r="J269" s="35">
        <v>12</v>
      </c>
      <c r="K269" s="35">
        <v>901.17</v>
      </c>
      <c r="L269" s="35"/>
      <c r="M269" s="35"/>
      <c r="N269" s="35"/>
      <c r="O269" s="35"/>
      <c r="P269" s="35">
        <v>22</v>
      </c>
      <c r="Q269" s="35">
        <f>2018+7164</f>
        <v>9182</v>
      </c>
      <c r="R269" s="35">
        <v>7</v>
      </c>
      <c r="S269" s="35">
        <f>2291.8+1532+367.11</f>
        <v>4190.91</v>
      </c>
      <c r="T269" s="35"/>
      <c r="U269" s="35"/>
      <c r="V269" s="35"/>
      <c r="W269" s="35"/>
      <c r="X269" s="35"/>
      <c r="Y269" s="35"/>
      <c r="Z269" s="35"/>
      <c r="AA269" s="35"/>
      <c r="AB269" s="35"/>
      <c r="AC269" s="35"/>
      <c r="AD269" s="35">
        <f>15+12</f>
        <v>27</v>
      </c>
      <c r="AE269" s="35">
        <f>4572.12+92083.53+4254.76+5766.318</f>
        <v>106676.72799999999</v>
      </c>
      <c r="AF269" s="35"/>
      <c r="AG269" s="35"/>
      <c r="AH269" s="35"/>
      <c r="AI269" s="35"/>
      <c r="AJ269" s="35">
        <v>54</v>
      </c>
      <c r="AK269" s="35">
        <f>573.763+5040</f>
        <v>5613.7629999999999</v>
      </c>
      <c r="AL269" s="35">
        <f>5+8</f>
        <v>13</v>
      </c>
      <c r="AM269" s="35">
        <f>1243.37+832.43+1009.03</f>
        <v>3084.83</v>
      </c>
      <c r="AN269" s="36">
        <v>4</v>
      </c>
      <c r="AO269" s="36">
        <f>1298.28+987</f>
        <v>2285.2799999999997</v>
      </c>
      <c r="AP269" s="36"/>
      <c r="AQ269" s="35"/>
      <c r="AR269" s="35">
        <v>63.68</v>
      </c>
      <c r="AS269" s="35">
        <v>152813.76000000001</v>
      </c>
      <c r="AT269" s="35"/>
      <c r="AU269" s="35">
        <v>56998.97</v>
      </c>
    </row>
    <row r="270" spans="1:47" s="7" customFormat="1" ht="15.75" customHeight="1" x14ac:dyDescent="0.35">
      <c r="A270" s="13" t="s">
        <v>127</v>
      </c>
      <c r="B270" s="33">
        <v>150789.12</v>
      </c>
      <c r="C270" s="35">
        <f t="shared" si="4"/>
        <v>89062.63</v>
      </c>
      <c r="D270" s="35">
        <v>14</v>
      </c>
      <c r="E270" s="35">
        <v>10990.331</v>
      </c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>
        <v>15</v>
      </c>
      <c r="Q270" s="35">
        <f>636.5+7092.68</f>
        <v>7729.18</v>
      </c>
      <c r="R270" s="35">
        <v>1</v>
      </c>
      <c r="S270" s="35">
        <v>376.47899999999998</v>
      </c>
      <c r="T270" s="35"/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F270" s="35"/>
      <c r="AG270" s="35"/>
      <c r="AH270" s="35"/>
      <c r="AI270" s="35"/>
      <c r="AJ270" s="35"/>
      <c r="AK270" s="35"/>
      <c r="AL270" s="35"/>
      <c r="AM270" s="35"/>
      <c r="AN270" s="36">
        <v>2</v>
      </c>
      <c r="AO270" s="36">
        <v>3776.45</v>
      </c>
      <c r="AP270" s="36"/>
      <c r="AQ270" s="35"/>
      <c r="AR270" s="35">
        <v>17.32</v>
      </c>
      <c r="AS270" s="35">
        <v>66190.19</v>
      </c>
      <c r="AT270" s="35"/>
      <c r="AU270" s="35"/>
    </row>
    <row r="271" spans="1:47" s="7" customFormat="1" ht="15.75" customHeight="1" x14ac:dyDescent="0.35">
      <c r="A271" s="13" t="s">
        <v>128</v>
      </c>
      <c r="B271" s="33">
        <v>86716.56</v>
      </c>
      <c r="C271" s="35">
        <f t="shared" si="4"/>
        <v>84090.06</v>
      </c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>
        <v>12</v>
      </c>
      <c r="Q271" s="35">
        <f>224.64+4341.68+5344.02</f>
        <v>9910.34</v>
      </c>
      <c r="R271" s="35"/>
      <c r="S271" s="35"/>
      <c r="T271" s="35"/>
      <c r="U271" s="35"/>
      <c r="V271" s="35"/>
      <c r="W271" s="35"/>
      <c r="X271" s="35"/>
      <c r="Y271" s="35"/>
      <c r="Z271" s="35">
        <v>2.1</v>
      </c>
      <c r="AA271" s="35">
        <v>5781.43</v>
      </c>
      <c r="AB271" s="35"/>
      <c r="AC271" s="35"/>
      <c r="AD271" s="35"/>
      <c r="AE271" s="35"/>
      <c r="AF271" s="35"/>
      <c r="AG271" s="35"/>
      <c r="AH271" s="35"/>
      <c r="AI271" s="35"/>
      <c r="AJ271" s="35"/>
      <c r="AK271" s="35"/>
      <c r="AL271" s="35"/>
      <c r="AM271" s="35"/>
      <c r="AN271" s="36">
        <v>9</v>
      </c>
      <c r="AO271" s="36">
        <f>432.77+1950</f>
        <v>2382.77</v>
      </c>
      <c r="AP271" s="36"/>
      <c r="AQ271" s="35"/>
      <c r="AR271" s="35">
        <v>12.1</v>
      </c>
      <c r="AS271" s="35">
        <v>66015.520000000004</v>
      </c>
      <c r="AT271" s="35"/>
      <c r="AU271" s="35"/>
    </row>
    <row r="272" spans="1:47" s="7" customFormat="1" ht="15.75" customHeight="1" x14ac:dyDescent="0.35">
      <c r="A272" s="13" t="s">
        <v>129</v>
      </c>
      <c r="B272" s="33">
        <v>143256.95999999999</v>
      </c>
      <c r="C272" s="35">
        <f t="shared" si="4"/>
        <v>126204.87</v>
      </c>
      <c r="D272" s="35"/>
      <c r="E272" s="35"/>
      <c r="F272" s="35"/>
      <c r="G272" s="35"/>
      <c r="H272" s="35"/>
      <c r="I272" s="35"/>
      <c r="J272" s="35">
        <v>6</v>
      </c>
      <c r="K272" s="35">
        <v>950.12</v>
      </c>
      <c r="L272" s="35"/>
      <c r="M272" s="35"/>
      <c r="N272" s="35"/>
      <c r="O272" s="35"/>
      <c r="P272" s="35">
        <v>1</v>
      </c>
      <c r="Q272" s="35">
        <v>1172</v>
      </c>
      <c r="R272" s="35">
        <v>1</v>
      </c>
      <c r="S272" s="35">
        <v>367</v>
      </c>
      <c r="T272" s="35">
        <v>9</v>
      </c>
      <c r="U272" s="35">
        <v>3054.66</v>
      </c>
      <c r="V272" s="35"/>
      <c r="W272" s="35"/>
      <c r="X272" s="35"/>
      <c r="Y272" s="35"/>
      <c r="Z272" s="35">
        <v>4</v>
      </c>
      <c r="AA272" s="35">
        <v>9815.34</v>
      </c>
      <c r="AB272" s="35"/>
      <c r="AC272" s="35"/>
      <c r="AD272" s="35">
        <v>36</v>
      </c>
      <c r="AE272" s="35">
        <v>9015</v>
      </c>
      <c r="AF272" s="35"/>
      <c r="AG272" s="35"/>
      <c r="AH272" s="35">
        <v>4</v>
      </c>
      <c r="AI272" s="35">
        <v>4033.8</v>
      </c>
      <c r="AJ272" s="35"/>
      <c r="AK272" s="35"/>
      <c r="AL272" s="35"/>
      <c r="AM272" s="35"/>
      <c r="AN272" s="36">
        <v>1</v>
      </c>
      <c r="AO272" s="36">
        <v>432.77</v>
      </c>
      <c r="AP272" s="36"/>
      <c r="AQ272" s="35"/>
      <c r="AR272" s="35">
        <v>17.84</v>
      </c>
      <c r="AS272" s="35">
        <v>97364.18</v>
      </c>
      <c r="AT272" s="35"/>
      <c r="AU272" s="35"/>
    </row>
    <row r="273" spans="1:47" s="7" customFormat="1" ht="15.75" customHeight="1" x14ac:dyDescent="0.35">
      <c r="A273" s="13" t="s">
        <v>130</v>
      </c>
      <c r="B273" s="33">
        <v>123087.36</v>
      </c>
      <c r="C273" s="35">
        <f t="shared" si="4"/>
        <v>26781.53</v>
      </c>
      <c r="D273" s="35"/>
      <c r="E273" s="35"/>
      <c r="F273" s="35"/>
      <c r="G273" s="35"/>
      <c r="H273" s="35"/>
      <c r="I273" s="35"/>
      <c r="J273" s="35">
        <v>11</v>
      </c>
      <c r="K273" s="35">
        <v>1075.83</v>
      </c>
      <c r="L273" s="35"/>
      <c r="M273" s="35"/>
      <c r="N273" s="35"/>
      <c r="O273" s="35"/>
      <c r="P273" s="35">
        <v>11</v>
      </c>
      <c r="Q273" s="35">
        <f>6794.43+565</f>
        <v>7359.43</v>
      </c>
      <c r="R273" s="35">
        <v>4</v>
      </c>
      <c r="S273" s="35">
        <f>383.03+752.95+376.48+367+7438</f>
        <v>9317.4599999999991</v>
      </c>
      <c r="T273" s="35"/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F273" s="35"/>
      <c r="AG273" s="35"/>
      <c r="AH273" s="35"/>
      <c r="AI273" s="35"/>
      <c r="AJ273" s="35">
        <v>55</v>
      </c>
      <c r="AK273" s="35">
        <v>9028.81</v>
      </c>
      <c r="AL273" s="35"/>
      <c r="AM273" s="35"/>
      <c r="AN273" s="36"/>
      <c r="AO273" s="36"/>
      <c r="AP273" s="36"/>
      <c r="AQ273" s="35"/>
      <c r="AR273" s="35"/>
      <c r="AS273" s="35"/>
      <c r="AT273" s="35"/>
      <c r="AU273" s="35"/>
    </row>
    <row r="274" spans="1:47" s="7" customFormat="1" ht="15.75" customHeight="1" x14ac:dyDescent="0.35">
      <c r="A274" s="13" t="s">
        <v>131</v>
      </c>
      <c r="B274" s="33">
        <v>443137.08</v>
      </c>
      <c r="C274" s="35">
        <f t="shared" si="4"/>
        <v>109013.05000000002</v>
      </c>
      <c r="D274" s="35"/>
      <c r="E274" s="35"/>
      <c r="F274" s="35"/>
      <c r="G274" s="35"/>
      <c r="H274" s="35"/>
      <c r="I274" s="35"/>
      <c r="J274" s="35">
        <v>6.75</v>
      </c>
      <c r="K274" s="35">
        <v>506.9</v>
      </c>
      <c r="L274" s="35"/>
      <c r="M274" s="35"/>
      <c r="N274" s="35"/>
      <c r="O274" s="35"/>
      <c r="P274" s="35"/>
      <c r="Q274" s="35"/>
      <c r="R274" s="35">
        <v>1</v>
      </c>
      <c r="S274" s="35">
        <v>1145.9000000000001</v>
      </c>
      <c r="T274" s="35"/>
      <c r="U274" s="35"/>
      <c r="V274" s="35"/>
      <c r="W274" s="35"/>
      <c r="X274" s="35"/>
      <c r="Y274" s="35"/>
      <c r="Z274" s="35"/>
      <c r="AA274" s="35"/>
      <c r="AB274" s="35"/>
      <c r="AC274" s="35"/>
      <c r="AD274" s="35">
        <v>54</v>
      </c>
      <c r="AE274" s="35">
        <f>2317.02+4032+28925.72+315.11+1530+6106+1986+1625</f>
        <v>46836.850000000006</v>
      </c>
      <c r="AF274" s="35"/>
      <c r="AG274" s="35"/>
      <c r="AH274" s="35">
        <v>40</v>
      </c>
      <c r="AI274" s="35">
        <f>4258.4+55320+630+315</f>
        <v>60523.4</v>
      </c>
      <c r="AJ274" s="35"/>
      <c r="AK274" s="35"/>
      <c r="AL274" s="35"/>
      <c r="AM274" s="35"/>
      <c r="AN274" s="36"/>
      <c r="AO274" s="36"/>
      <c r="AP274" s="36"/>
      <c r="AQ274" s="35"/>
      <c r="AR274" s="35"/>
      <c r="AS274" s="35"/>
      <c r="AT274" s="35"/>
      <c r="AU274" s="35"/>
    </row>
    <row r="275" spans="1:47" s="7" customFormat="1" ht="15.75" customHeight="1" x14ac:dyDescent="0.35">
      <c r="A275" s="13" t="s">
        <v>132</v>
      </c>
      <c r="B275" s="33">
        <v>92859.24</v>
      </c>
      <c r="C275" s="35">
        <f t="shared" si="4"/>
        <v>62603.560000000005</v>
      </c>
      <c r="D275" s="35"/>
      <c r="E275" s="35"/>
      <c r="F275" s="35"/>
      <c r="G275" s="35"/>
      <c r="H275" s="35"/>
      <c r="I275" s="35"/>
      <c r="J275" s="35">
        <f>26+7</f>
        <v>33</v>
      </c>
      <c r="K275" s="35">
        <f>1714.16+6638.08</f>
        <v>8352.24</v>
      </c>
      <c r="L275" s="35"/>
      <c r="M275" s="35"/>
      <c r="N275" s="35"/>
      <c r="O275" s="35"/>
      <c r="P275" s="35"/>
      <c r="Q275" s="35"/>
      <c r="R275" s="35">
        <v>1</v>
      </c>
      <c r="S275" s="35">
        <v>367</v>
      </c>
      <c r="T275" s="35"/>
      <c r="U275" s="35"/>
      <c r="V275" s="35">
        <v>4.2</v>
      </c>
      <c r="W275" s="35">
        <f>5694.76</f>
        <v>5694.76</v>
      </c>
      <c r="X275" s="35"/>
      <c r="Y275" s="35"/>
      <c r="Z275" s="35"/>
      <c r="AA275" s="35"/>
      <c r="AB275" s="35"/>
      <c r="AC275" s="35"/>
      <c r="AD275" s="35">
        <v>11</v>
      </c>
      <c r="AE275" s="35">
        <f>1691.51+887.9+7854</f>
        <v>10433.41</v>
      </c>
      <c r="AF275" s="35"/>
      <c r="AG275" s="35"/>
      <c r="AH275" s="35">
        <v>1</v>
      </c>
      <c r="AI275" s="35">
        <v>1187</v>
      </c>
      <c r="AJ275" s="35"/>
      <c r="AK275" s="35"/>
      <c r="AL275" s="35"/>
      <c r="AM275" s="35"/>
      <c r="AN275" s="36"/>
      <c r="AO275" s="36"/>
      <c r="AP275" s="36"/>
      <c r="AQ275" s="35"/>
      <c r="AR275" s="35">
        <v>7.75</v>
      </c>
      <c r="AS275" s="35">
        <v>42263.91</v>
      </c>
      <c r="AT275" s="35"/>
      <c r="AU275" s="35"/>
    </row>
    <row r="276" spans="1:47" s="7" customFormat="1" ht="15.75" customHeight="1" x14ac:dyDescent="0.35">
      <c r="A276" s="13" t="s">
        <v>133</v>
      </c>
      <c r="B276" s="33">
        <v>221659.32</v>
      </c>
      <c r="C276" s="35">
        <f t="shared" si="4"/>
        <v>161128.44080000001</v>
      </c>
      <c r="D276" s="35">
        <v>46</v>
      </c>
      <c r="E276" s="35">
        <f>31330.97+2054</f>
        <v>33384.97</v>
      </c>
      <c r="F276" s="35"/>
      <c r="G276" s="35"/>
      <c r="H276" s="35"/>
      <c r="I276" s="35"/>
      <c r="J276" s="35">
        <v>19.5</v>
      </c>
      <c r="K276" s="35">
        <v>1714.16</v>
      </c>
      <c r="L276" s="35"/>
      <c r="M276" s="35"/>
      <c r="N276" s="35"/>
      <c r="O276" s="35"/>
      <c r="P276" s="35"/>
      <c r="Q276" s="35"/>
      <c r="R276" s="35">
        <v>2</v>
      </c>
      <c r="S276" s="35">
        <f>2169.42+302+255.5408</f>
        <v>2726.9607999999998</v>
      </c>
      <c r="T276" s="35">
        <v>5</v>
      </c>
      <c r="U276" s="35">
        <f>3635.75+10761.6</f>
        <v>14397.35</v>
      </c>
      <c r="V276" s="35">
        <v>1.6</v>
      </c>
      <c r="W276" s="35">
        <v>2169.4299999999998</v>
      </c>
      <c r="X276" s="35">
        <v>7</v>
      </c>
      <c r="Y276" s="35">
        <v>1956</v>
      </c>
      <c r="Z276" s="35"/>
      <c r="AA276" s="35"/>
      <c r="AB276" s="35"/>
      <c r="AC276" s="35"/>
      <c r="AD276" s="35"/>
      <c r="AE276" s="35"/>
      <c r="AF276" s="35"/>
      <c r="AG276" s="35"/>
      <c r="AH276" s="35"/>
      <c r="AI276" s="35"/>
      <c r="AJ276" s="35"/>
      <c r="AK276" s="35"/>
      <c r="AL276" s="35">
        <v>1</v>
      </c>
      <c r="AM276" s="35">
        <v>187</v>
      </c>
      <c r="AN276" s="36"/>
      <c r="AO276" s="36"/>
      <c r="AP276" s="36"/>
      <c r="AQ276" s="35"/>
      <c r="AR276" s="35">
        <v>19.38</v>
      </c>
      <c r="AS276" s="35">
        <v>106762</v>
      </c>
      <c r="AT276" s="35"/>
      <c r="AU276" s="35"/>
    </row>
    <row r="277" spans="1:47" s="56" customFormat="1" ht="15.75" customHeight="1" x14ac:dyDescent="0.35">
      <c r="A277" s="13" t="s">
        <v>134</v>
      </c>
      <c r="B277" s="33">
        <v>81123.12</v>
      </c>
      <c r="C277" s="35">
        <f t="shared" si="4"/>
        <v>295401.53000000003</v>
      </c>
      <c r="D277" s="35"/>
      <c r="E277" s="35"/>
      <c r="F277" s="35"/>
      <c r="G277" s="35"/>
      <c r="H277" s="35"/>
      <c r="I277" s="35"/>
      <c r="J277" s="35">
        <f>230+9+8</f>
        <v>247</v>
      </c>
      <c r="K277" s="35">
        <f>850.54+144494.42+986.6</f>
        <v>146331.56000000003</v>
      </c>
      <c r="L277" s="35"/>
      <c r="M277" s="35"/>
      <c r="N277" s="35"/>
      <c r="O277" s="35"/>
      <c r="P277" s="35">
        <v>3</v>
      </c>
      <c r="Q277" s="35">
        <v>1679.67</v>
      </c>
      <c r="R277" s="35">
        <v>1</v>
      </c>
      <c r="S277" s="35">
        <v>302</v>
      </c>
      <c r="T277" s="35">
        <v>18</v>
      </c>
      <c r="U277" s="35">
        <f>2823+139487.92</f>
        <v>142310.92000000001</v>
      </c>
      <c r="V277" s="35"/>
      <c r="W277" s="35"/>
      <c r="X277" s="35"/>
      <c r="Y277" s="35"/>
      <c r="Z277" s="35"/>
      <c r="AA277" s="35"/>
      <c r="AB277" s="35"/>
      <c r="AC277" s="35"/>
      <c r="AD277" s="35">
        <v>4</v>
      </c>
      <c r="AE277" s="35">
        <v>2992.1</v>
      </c>
      <c r="AF277" s="35"/>
      <c r="AG277" s="35"/>
      <c r="AH277" s="35">
        <v>3</v>
      </c>
      <c r="AI277" s="35">
        <f>530.46+822.05</f>
        <v>1352.51</v>
      </c>
      <c r="AJ277" s="35"/>
      <c r="AK277" s="35"/>
      <c r="AL277" s="35"/>
      <c r="AM277" s="35"/>
      <c r="AN277" s="36">
        <v>1</v>
      </c>
      <c r="AO277" s="36">
        <v>432.77</v>
      </c>
      <c r="AP277" s="36"/>
      <c r="AQ277" s="35"/>
      <c r="AR277" s="35"/>
      <c r="AS277" s="35"/>
      <c r="AT277" s="35"/>
      <c r="AU277" s="35"/>
    </row>
    <row r="278" spans="1:47" s="7" customFormat="1" ht="15.75" customHeight="1" x14ac:dyDescent="0.35">
      <c r="A278" s="13" t="s">
        <v>135</v>
      </c>
      <c r="B278" s="33">
        <v>197613.72</v>
      </c>
      <c r="C278" s="35">
        <f t="shared" si="4"/>
        <v>200067.80599999998</v>
      </c>
      <c r="D278" s="35">
        <v>0.36</v>
      </c>
      <c r="E278" s="35">
        <v>250</v>
      </c>
      <c r="F278" s="35"/>
      <c r="G278" s="35"/>
      <c r="H278" s="35"/>
      <c r="I278" s="35"/>
      <c r="J278" s="35">
        <v>12.5</v>
      </c>
      <c r="K278" s="35">
        <v>938.71</v>
      </c>
      <c r="L278" s="35">
        <v>452</v>
      </c>
      <c r="M278" s="35">
        <v>59325</v>
      </c>
      <c r="N278" s="35"/>
      <c r="O278" s="35"/>
      <c r="P278" s="35">
        <v>2</v>
      </c>
      <c r="Q278" s="35">
        <v>1273.01</v>
      </c>
      <c r="R278" s="35">
        <v>1</v>
      </c>
      <c r="S278" s="35">
        <v>376.48</v>
      </c>
      <c r="T278" s="35">
        <v>2</v>
      </c>
      <c r="U278" s="35">
        <v>2333.91</v>
      </c>
      <c r="V278" s="35"/>
      <c r="W278" s="35"/>
      <c r="X278" s="35">
        <v>11</v>
      </c>
      <c r="Y278" s="35">
        <f>5490.95+1869.976</f>
        <v>7360.9259999999995</v>
      </c>
      <c r="Z278" s="35">
        <v>2.1</v>
      </c>
      <c r="AA278" s="35">
        <v>5780.91</v>
      </c>
      <c r="AB278" s="35"/>
      <c r="AC278" s="35"/>
      <c r="AD278" s="35"/>
      <c r="AE278" s="35"/>
      <c r="AF278" s="35"/>
      <c r="AG278" s="35"/>
      <c r="AH278" s="35"/>
      <c r="AI278" s="35"/>
      <c r="AJ278" s="35">
        <v>40</v>
      </c>
      <c r="AK278" s="35">
        <v>4647.3900000000003</v>
      </c>
      <c r="AL278" s="35">
        <v>1</v>
      </c>
      <c r="AM278" s="35">
        <v>15789.2</v>
      </c>
      <c r="AN278" s="36"/>
      <c r="AO278" s="36"/>
      <c r="AP278" s="36"/>
      <c r="AQ278" s="35"/>
      <c r="AR278" s="35">
        <v>18.690000000000001</v>
      </c>
      <c r="AS278" s="35">
        <v>101992.27</v>
      </c>
      <c r="AT278" s="35"/>
      <c r="AU278" s="35"/>
    </row>
    <row r="279" spans="1:47" s="7" customFormat="1" ht="15.75" customHeight="1" x14ac:dyDescent="0.35">
      <c r="A279" s="13" t="s">
        <v>136</v>
      </c>
      <c r="B279" s="33">
        <v>184702.44</v>
      </c>
      <c r="C279" s="35">
        <f t="shared" si="4"/>
        <v>200862.76800000001</v>
      </c>
      <c r="D279" s="35"/>
      <c r="E279" s="35"/>
      <c r="F279" s="35"/>
      <c r="G279" s="35"/>
      <c r="H279" s="35"/>
      <c r="I279" s="35"/>
      <c r="J279" s="35">
        <v>15</v>
      </c>
      <c r="K279" s="35">
        <v>3279.08</v>
      </c>
      <c r="L279" s="35">
        <v>482</v>
      </c>
      <c r="M279" s="35">
        <v>137867</v>
      </c>
      <c r="N279" s="35"/>
      <c r="O279" s="35"/>
      <c r="P279" s="35">
        <v>4</v>
      </c>
      <c r="Q279" s="35">
        <v>2333</v>
      </c>
      <c r="R279" s="35">
        <v>1</v>
      </c>
      <c r="S279" s="35">
        <v>1222.9000000000001</v>
      </c>
      <c r="T279" s="35"/>
      <c r="U279" s="35"/>
      <c r="V279" s="35"/>
      <c r="W279" s="35"/>
      <c r="X279" s="35">
        <v>3.1</v>
      </c>
      <c r="Y279" s="35">
        <v>933.1</v>
      </c>
      <c r="Z279" s="35"/>
      <c r="AA279" s="35"/>
      <c r="AB279" s="35"/>
      <c r="AC279" s="35"/>
      <c r="AD279" s="35">
        <v>7</v>
      </c>
      <c r="AE279" s="35">
        <f>5167.078+1502.52</f>
        <v>6669.598</v>
      </c>
      <c r="AF279" s="35">
        <v>1</v>
      </c>
      <c r="AG279" s="35">
        <v>4354.2</v>
      </c>
      <c r="AH279" s="35">
        <v>5</v>
      </c>
      <c r="AI279" s="35">
        <v>2031.15</v>
      </c>
      <c r="AJ279" s="35">
        <f>57.5+62</f>
        <v>119.5</v>
      </c>
      <c r="AK279" s="35">
        <f>6877+11359.2+210</f>
        <v>18446.2</v>
      </c>
      <c r="AL279" s="35">
        <v>26</v>
      </c>
      <c r="AM279" s="35">
        <v>17240.080000000002</v>
      </c>
      <c r="AN279" s="36">
        <v>6</v>
      </c>
      <c r="AO279" s="36">
        <v>6486.46</v>
      </c>
      <c r="AP279" s="36"/>
      <c r="AQ279" s="35"/>
      <c r="AR279" s="35"/>
      <c r="AS279" s="35"/>
      <c r="AT279" s="35"/>
      <c r="AU279" s="35"/>
    </row>
    <row r="280" spans="1:47" s="7" customFormat="1" ht="15.75" customHeight="1" x14ac:dyDescent="0.35">
      <c r="A280" s="13" t="s">
        <v>137</v>
      </c>
      <c r="B280" s="33">
        <v>121278.6</v>
      </c>
      <c r="C280" s="35">
        <f t="shared" si="4"/>
        <v>91062.16</v>
      </c>
      <c r="D280" s="35"/>
      <c r="E280" s="35"/>
      <c r="F280" s="35"/>
      <c r="G280" s="35"/>
      <c r="H280" s="35"/>
      <c r="I280" s="35"/>
      <c r="J280" s="35">
        <v>10</v>
      </c>
      <c r="K280" s="35">
        <v>1250.52</v>
      </c>
      <c r="L280" s="35"/>
      <c r="M280" s="35"/>
      <c r="N280" s="35"/>
      <c r="O280" s="35"/>
      <c r="P280" s="35"/>
      <c r="Q280" s="35"/>
      <c r="R280" s="35">
        <v>3</v>
      </c>
      <c r="S280" s="35">
        <f>1145.9+376.48+376.48</f>
        <v>1898.8600000000001</v>
      </c>
      <c r="T280" s="35">
        <v>1</v>
      </c>
      <c r="U280" s="35">
        <v>6898.76</v>
      </c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F280" s="35"/>
      <c r="AG280" s="35"/>
      <c r="AH280" s="35"/>
      <c r="AI280" s="35"/>
      <c r="AJ280" s="35"/>
      <c r="AK280" s="35"/>
      <c r="AL280" s="35">
        <v>6</v>
      </c>
      <c r="AM280" s="35">
        <v>15791.5</v>
      </c>
      <c r="AN280" s="36">
        <v>1</v>
      </c>
      <c r="AO280" s="36">
        <v>1128.06</v>
      </c>
      <c r="AP280" s="36"/>
      <c r="AQ280" s="35"/>
      <c r="AR280" s="35">
        <v>11.75</v>
      </c>
      <c r="AS280" s="35">
        <v>64094.46</v>
      </c>
      <c r="AT280" s="35"/>
      <c r="AU280" s="35"/>
    </row>
    <row r="281" spans="1:47" s="7" customFormat="1" ht="15.75" customHeight="1" x14ac:dyDescent="0.35">
      <c r="A281" s="12" t="s">
        <v>2</v>
      </c>
      <c r="B281" s="33">
        <v>323187.96000000002</v>
      </c>
      <c r="C281" s="35">
        <f t="shared" si="4"/>
        <v>84132.71</v>
      </c>
      <c r="D281" s="35"/>
      <c r="E281" s="35"/>
      <c r="F281" s="35"/>
      <c r="G281" s="35"/>
      <c r="H281" s="35"/>
      <c r="I281" s="35"/>
      <c r="J281" s="35">
        <v>3</v>
      </c>
      <c r="K281" s="35">
        <v>475.06</v>
      </c>
      <c r="L281" s="35"/>
      <c r="M281" s="35"/>
      <c r="N281" s="35"/>
      <c r="O281" s="35"/>
      <c r="P281" s="35">
        <v>1</v>
      </c>
      <c r="Q281" s="35">
        <f>1047+349</f>
        <v>1396</v>
      </c>
      <c r="R281" s="35"/>
      <c r="S281" s="35"/>
      <c r="T281" s="35"/>
      <c r="U281" s="35"/>
      <c r="V281" s="35"/>
      <c r="W281" s="35"/>
      <c r="X281" s="35">
        <v>2.5</v>
      </c>
      <c r="Y281" s="35">
        <v>782.41</v>
      </c>
      <c r="Z281" s="35"/>
      <c r="AA281" s="35"/>
      <c r="AB281" s="35"/>
      <c r="AC281" s="35"/>
      <c r="AD281" s="35"/>
      <c r="AE281" s="35"/>
      <c r="AF281" s="35"/>
      <c r="AG281" s="35"/>
      <c r="AH281" s="35"/>
      <c r="AI281" s="35"/>
      <c r="AJ281" s="35"/>
      <c r="AK281" s="35"/>
      <c r="AL281" s="35">
        <v>1</v>
      </c>
      <c r="AM281" s="35">
        <v>561</v>
      </c>
      <c r="AN281" s="36">
        <v>2</v>
      </c>
      <c r="AO281" s="36">
        <f>432.77+61.78</f>
        <v>494.54999999999995</v>
      </c>
      <c r="AP281" s="36"/>
      <c r="AQ281" s="35"/>
      <c r="AR281" s="35">
        <v>37.17</v>
      </c>
      <c r="AS281" s="35">
        <v>80423.69</v>
      </c>
      <c r="AT281" s="35"/>
      <c r="AU281" s="35"/>
    </row>
    <row r="282" spans="1:47" s="7" customFormat="1" ht="15.75" customHeight="1" x14ac:dyDescent="0.35">
      <c r="A282" s="13" t="s">
        <v>138</v>
      </c>
      <c r="B282" s="33">
        <v>80068.320000000007</v>
      </c>
      <c r="C282" s="35">
        <f t="shared" si="4"/>
        <v>82710.78</v>
      </c>
      <c r="D282" s="35"/>
      <c r="E282" s="35"/>
      <c r="F282" s="35"/>
      <c r="G282" s="35"/>
      <c r="H282" s="35"/>
      <c r="I282" s="35"/>
      <c r="J282" s="35">
        <v>6</v>
      </c>
      <c r="K282" s="35">
        <v>950.12</v>
      </c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>
        <v>6</v>
      </c>
      <c r="Y282" s="35">
        <v>7741.78</v>
      </c>
      <c r="Z282" s="35"/>
      <c r="AA282" s="35"/>
      <c r="AB282" s="35"/>
      <c r="AC282" s="35"/>
      <c r="AD282" s="35"/>
      <c r="AE282" s="35"/>
      <c r="AF282" s="35"/>
      <c r="AG282" s="35"/>
      <c r="AH282" s="35"/>
      <c r="AI282" s="35"/>
      <c r="AJ282" s="35"/>
      <c r="AK282" s="35"/>
      <c r="AL282" s="35"/>
      <c r="AM282" s="35"/>
      <c r="AN282" s="36">
        <v>1</v>
      </c>
      <c r="AO282" s="36">
        <f>432.77+1108.74</f>
        <v>1541.51</v>
      </c>
      <c r="AP282" s="36"/>
      <c r="AQ282" s="35"/>
      <c r="AR282" s="35">
        <v>14.13</v>
      </c>
      <c r="AS282" s="35">
        <v>72477.37</v>
      </c>
      <c r="AT282" s="35"/>
      <c r="AU282" s="35"/>
    </row>
    <row r="283" spans="1:47" s="7" customFormat="1" ht="15.75" customHeight="1" x14ac:dyDescent="0.35">
      <c r="A283" s="13" t="s">
        <v>139</v>
      </c>
      <c r="B283" s="33">
        <v>378911.64</v>
      </c>
      <c r="C283" s="35">
        <f t="shared" si="4"/>
        <v>454937.63</v>
      </c>
      <c r="D283" s="35"/>
      <c r="E283" s="35"/>
      <c r="F283" s="35"/>
      <c r="G283" s="35"/>
      <c r="H283" s="35"/>
      <c r="I283" s="35"/>
      <c r="J283" s="35">
        <f>3+457</f>
        <v>460</v>
      </c>
      <c r="K283" s="35">
        <f>475.06+180386.953</f>
        <v>180862.01300000001</v>
      </c>
      <c r="L283" s="35"/>
      <c r="M283" s="35"/>
      <c r="N283" s="35"/>
      <c r="O283" s="35"/>
      <c r="P283" s="35">
        <v>2</v>
      </c>
      <c r="Q283" s="35">
        <f>3025.15+994</f>
        <v>4019.15</v>
      </c>
      <c r="R283" s="35">
        <v>3</v>
      </c>
      <c r="S283" s="35">
        <f>376.48+376.479+376.479</f>
        <v>1129.4380000000001</v>
      </c>
      <c r="T283" s="35"/>
      <c r="U283" s="35"/>
      <c r="V283" s="35"/>
      <c r="W283" s="35"/>
      <c r="X283" s="35">
        <v>5.5</v>
      </c>
      <c r="Y283" s="35">
        <f>952.89+793.87+1204</f>
        <v>2950.76</v>
      </c>
      <c r="Z283" s="35"/>
      <c r="AA283" s="35"/>
      <c r="AB283" s="35"/>
      <c r="AC283" s="35"/>
      <c r="AD283" s="35">
        <v>49</v>
      </c>
      <c r="AE283" s="35">
        <f>2285.59+38589.52+4142</f>
        <v>45017.11</v>
      </c>
      <c r="AF283" s="35"/>
      <c r="AG283" s="35"/>
      <c r="AH283" s="35">
        <v>4</v>
      </c>
      <c r="AI283" s="35">
        <f>410+1064.8+405.96+4070.4</f>
        <v>5951.16</v>
      </c>
      <c r="AJ283" s="35">
        <v>6</v>
      </c>
      <c r="AK283" s="35">
        <f>495.919+3763</f>
        <v>4258.9189999999999</v>
      </c>
      <c r="AL283" s="35"/>
      <c r="AM283" s="35"/>
      <c r="AN283" s="36">
        <v>3</v>
      </c>
      <c r="AO283" s="36">
        <f>432.77+1108.74</f>
        <v>1541.51</v>
      </c>
      <c r="AP283" s="36"/>
      <c r="AQ283" s="35">
        <v>32816.85</v>
      </c>
      <c r="AR283" s="35">
        <v>35.65</v>
      </c>
      <c r="AS283" s="35">
        <v>176390.72</v>
      </c>
      <c r="AT283" s="35"/>
      <c r="AU283" s="35"/>
    </row>
    <row r="284" spans="1:47" s="7" customFormat="1" ht="15.75" customHeight="1" x14ac:dyDescent="0.35">
      <c r="A284" s="13" t="s">
        <v>140</v>
      </c>
      <c r="B284" s="33">
        <v>129503.16</v>
      </c>
      <c r="C284" s="35">
        <f t="shared" si="4"/>
        <v>131810.133</v>
      </c>
      <c r="D284" s="35"/>
      <c r="E284" s="35"/>
      <c r="F284" s="35"/>
      <c r="G284" s="35"/>
      <c r="H284" s="35"/>
      <c r="I284" s="35"/>
      <c r="J284" s="35">
        <v>10</v>
      </c>
      <c r="K284" s="35">
        <f>3971.03+3800.39</f>
        <v>7771.42</v>
      </c>
      <c r="L284" s="35"/>
      <c r="M284" s="35"/>
      <c r="N284" s="35"/>
      <c r="O284" s="35"/>
      <c r="P284" s="35">
        <v>16</v>
      </c>
      <c r="Q284" s="35">
        <f>3942.75+2634</f>
        <v>6576.75</v>
      </c>
      <c r="R284" s="35">
        <v>2</v>
      </c>
      <c r="S284" s="35">
        <v>3472.9</v>
      </c>
      <c r="T284" s="35"/>
      <c r="U284" s="35"/>
      <c r="V284" s="35"/>
      <c r="W284" s="35"/>
      <c r="X284" s="35">
        <v>2</v>
      </c>
      <c r="Y284" s="35">
        <v>635.1</v>
      </c>
      <c r="Z284" s="35"/>
      <c r="AA284" s="35"/>
      <c r="AB284" s="35"/>
      <c r="AC284" s="35"/>
      <c r="AD284" s="35">
        <v>22</v>
      </c>
      <c r="AE284" s="35">
        <f>28568+6973.07+646.77</f>
        <v>36187.839999999997</v>
      </c>
      <c r="AF284" s="35">
        <v>3</v>
      </c>
      <c r="AG284" s="35">
        <v>10259.299999999999</v>
      </c>
      <c r="AH284" s="35">
        <v>11</v>
      </c>
      <c r="AI284" s="35">
        <f>1052.83+4385.54</f>
        <v>5438.37</v>
      </c>
      <c r="AJ284" s="35">
        <v>16</v>
      </c>
      <c r="AK284" s="35">
        <f>7552+496.107+495.919</f>
        <v>8544.0259999999998</v>
      </c>
      <c r="AL284" s="35">
        <v>2</v>
      </c>
      <c r="AM284" s="35">
        <v>244.43700000000001</v>
      </c>
      <c r="AN284" s="36">
        <v>2</v>
      </c>
      <c r="AO284" s="36">
        <f>432.77+1108.74</f>
        <v>1541.51</v>
      </c>
      <c r="AP284" s="36"/>
      <c r="AQ284" s="35">
        <v>51138.48</v>
      </c>
      <c r="AR284" s="35"/>
      <c r="AS284" s="35"/>
      <c r="AT284" s="35"/>
      <c r="AU284" s="35"/>
    </row>
    <row r="285" spans="1:47" s="7" customFormat="1" ht="15.75" customHeight="1" x14ac:dyDescent="0.35">
      <c r="A285" s="13" t="s">
        <v>141</v>
      </c>
      <c r="B285" s="33">
        <v>157402.92000000001</v>
      </c>
      <c r="C285" s="35">
        <f t="shared" si="4"/>
        <v>182137.11000000002</v>
      </c>
      <c r="D285" s="35"/>
      <c r="E285" s="35"/>
      <c r="F285" s="35"/>
      <c r="G285" s="35"/>
      <c r="H285" s="35"/>
      <c r="I285" s="35"/>
      <c r="J285" s="35">
        <v>166</v>
      </c>
      <c r="K285" s="35">
        <f>475.06+102391.71</f>
        <v>102866.77</v>
      </c>
      <c r="L285" s="35"/>
      <c r="M285" s="35"/>
      <c r="N285" s="35"/>
      <c r="O285" s="35"/>
      <c r="P285" s="35">
        <v>14</v>
      </c>
      <c r="Q285" s="35">
        <f>462.3+321+5314.2</f>
        <v>6097.5</v>
      </c>
      <c r="R285" s="35">
        <v>1</v>
      </c>
      <c r="S285" s="35">
        <v>383</v>
      </c>
      <c r="T285" s="35"/>
      <c r="U285" s="35"/>
      <c r="V285" s="35"/>
      <c r="W285" s="35"/>
      <c r="X285" s="35"/>
      <c r="Y285" s="35"/>
      <c r="Z285" s="35"/>
      <c r="AA285" s="35"/>
      <c r="AB285" s="35"/>
      <c r="AC285" s="35"/>
      <c r="AD285" s="35">
        <v>28</v>
      </c>
      <c r="AE285" s="35">
        <f>646.77+2840.26+11682.8</f>
        <v>15169.83</v>
      </c>
      <c r="AF285" s="35"/>
      <c r="AG285" s="35"/>
      <c r="AH285" s="35">
        <v>9</v>
      </c>
      <c r="AI285" s="35">
        <f>4385.54+1018</f>
        <v>5403.54</v>
      </c>
      <c r="AJ285" s="35">
        <v>18</v>
      </c>
      <c r="AK285" s="35">
        <v>1083.22</v>
      </c>
      <c r="AL285" s="35"/>
      <c r="AM285" s="35"/>
      <c r="AN285" s="36">
        <v>1</v>
      </c>
      <c r="AO285" s="36">
        <v>432.77</v>
      </c>
      <c r="AP285" s="36"/>
      <c r="AQ285" s="35">
        <v>50700.480000000003</v>
      </c>
      <c r="AR285" s="35"/>
      <c r="AS285" s="35"/>
      <c r="AT285" s="35"/>
      <c r="AU285" s="35"/>
    </row>
    <row r="286" spans="1:47" s="7" customFormat="1" ht="15.75" customHeight="1" x14ac:dyDescent="0.35">
      <c r="A286" s="13" t="s">
        <v>142</v>
      </c>
      <c r="B286" s="33">
        <v>92415.360000000001</v>
      </c>
      <c r="C286" s="35">
        <f t="shared" si="4"/>
        <v>53169.94</v>
      </c>
      <c r="D286" s="35"/>
      <c r="E286" s="35"/>
      <c r="F286" s="35"/>
      <c r="G286" s="35"/>
      <c r="H286" s="35"/>
      <c r="I286" s="35"/>
      <c r="J286" s="35">
        <v>10</v>
      </c>
      <c r="K286" s="35">
        <v>750.98</v>
      </c>
      <c r="L286" s="35"/>
      <c r="M286" s="35"/>
      <c r="N286" s="35"/>
      <c r="O286" s="35"/>
      <c r="P286" s="35"/>
      <c r="Q286" s="35"/>
      <c r="R286" s="35">
        <v>1</v>
      </c>
      <c r="S286" s="35">
        <v>1404.9</v>
      </c>
      <c r="T286" s="35"/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F286" s="35"/>
      <c r="AG286" s="35"/>
      <c r="AH286" s="35">
        <v>14</v>
      </c>
      <c r="AI286" s="35">
        <v>13297.7</v>
      </c>
      <c r="AJ286" s="35"/>
      <c r="AK286" s="35"/>
      <c r="AL286" s="35">
        <f>21+12</f>
        <v>33</v>
      </c>
      <c r="AM286" s="35">
        <f>11311.5+10096.4</f>
        <v>21407.9</v>
      </c>
      <c r="AN286" s="36">
        <f>6+5</f>
        <v>11</v>
      </c>
      <c r="AO286" s="36">
        <f>5543.72+10764.74</f>
        <v>16308.46</v>
      </c>
      <c r="AP286" s="36"/>
      <c r="AQ286" s="35"/>
      <c r="AR286" s="35"/>
      <c r="AS286" s="35"/>
      <c r="AT286" s="35"/>
      <c r="AU286" s="35"/>
    </row>
    <row r="287" spans="1:47" s="7" customFormat="1" ht="15.75" customHeight="1" x14ac:dyDescent="0.35">
      <c r="A287" s="13" t="s">
        <v>143</v>
      </c>
      <c r="B287" s="33">
        <v>160154.51999999999</v>
      </c>
      <c r="C287" s="35">
        <f t="shared" si="4"/>
        <v>157850.63999999998</v>
      </c>
      <c r="D287" s="35"/>
      <c r="E287" s="35"/>
      <c r="F287" s="35"/>
      <c r="G287" s="35"/>
      <c r="H287" s="35"/>
      <c r="I287" s="35"/>
      <c r="J287" s="35">
        <f>454+65+6</f>
        <v>525</v>
      </c>
      <c r="K287" s="35">
        <f>450.58+40831</f>
        <v>41281.58</v>
      </c>
      <c r="L287" s="35">
        <v>454</v>
      </c>
      <c r="M287" s="35">
        <v>85441</v>
      </c>
      <c r="N287" s="35"/>
      <c r="O287" s="35"/>
      <c r="P287" s="35">
        <v>9</v>
      </c>
      <c r="Q287" s="35">
        <f>2541.65+2332.52</f>
        <v>4874.17</v>
      </c>
      <c r="R287" s="35"/>
      <c r="S287" s="35"/>
      <c r="T287" s="35">
        <v>8</v>
      </c>
      <c r="U287" s="35">
        <v>1356</v>
      </c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F287" s="35"/>
      <c r="AG287" s="35"/>
      <c r="AH287" s="35"/>
      <c r="AI287" s="35"/>
      <c r="AJ287" s="35">
        <v>190</v>
      </c>
      <c r="AK287" s="35">
        <v>17495</v>
      </c>
      <c r="AL287" s="35">
        <v>1</v>
      </c>
      <c r="AM287" s="35">
        <f>442.62+1476.99+561</f>
        <v>2480.61</v>
      </c>
      <c r="AN287" s="36">
        <v>4</v>
      </c>
      <c r="AO287" s="36">
        <f>1961.28+2961</f>
        <v>4922.28</v>
      </c>
      <c r="AP287" s="36"/>
      <c r="AQ287" s="35"/>
      <c r="AR287" s="35"/>
      <c r="AS287" s="35"/>
      <c r="AT287" s="35"/>
      <c r="AU287" s="35"/>
    </row>
    <row r="288" spans="1:47" s="7" customFormat="1" ht="15.75" customHeight="1" x14ac:dyDescent="0.35">
      <c r="A288" s="13" t="s">
        <v>144</v>
      </c>
      <c r="B288" s="33">
        <v>63841.68</v>
      </c>
      <c r="C288" s="35">
        <f t="shared" si="4"/>
        <v>169608.837</v>
      </c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>
        <v>3</v>
      </c>
      <c r="Q288" s="35">
        <v>1679.67</v>
      </c>
      <c r="R288" s="35">
        <v>2</v>
      </c>
      <c r="S288" s="35">
        <f>376.48+367.11</f>
        <v>743.59</v>
      </c>
      <c r="T288" s="35"/>
      <c r="U288" s="35"/>
      <c r="V288" s="35"/>
      <c r="W288" s="35"/>
      <c r="X288" s="35">
        <v>2</v>
      </c>
      <c r="Y288" s="35">
        <f>442+1389.18</f>
        <v>1831.18</v>
      </c>
      <c r="Z288" s="35"/>
      <c r="AA288" s="35"/>
      <c r="AB288" s="35"/>
      <c r="AC288" s="35"/>
      <c r="AD288" s="35">
        <v>22</v>
      </c>
      <c r="AE288" s="35">
        <f>9838.557+4244</f>
        <v>14082.557000000001</v>
      </c>
      <c r="AF288" s="35"/>
      <c r="AG288" s="35"/>
      <c r="AH288" s="35">
        <v>12</v>
      </c>
      <c r="AI288" s="35">
        <f>3113.25+1894</f>
        <v>5007.25</v>
      </c>
      <c r="AJ288" s="35"/>
      <c r="AK288" s="35"/>
      <c r="AL288" s="35"/>
      <c r="AM288" s="35"/>
      <c r="AN288" s="36"/>
      <c r="AO288" s="36"/>
      <c r="AP288" s="36"/>
      <c r="AQ288" s="35"/>
      <c r="AR288" s="35">
        <v>26.8</v>
      </c>
      <c r="AS288" s="35">
        <v>146264.59</v>
      </c>
      <c r="AT288" s="35"/>
      <c r="AU288" s="35"/>
    </row>
    <row r="289" spans="1:47" s="7" customFormat="1" ht="15.75" customHeight="1" x14ac:dyDescent="0.35">
      <c r="A289" s="13" t="s">
        <v>145</v>
      </c>
      <c r="B289" s="33">
        <v>184020.72</v>
      </c>
      <c r="C289" s="35">
        <f t="shared" si="4"/>
        <v>19393.740000000002</v>
      </c>
      <c r="D289" s="35">
        <v>20</v>
      </c>
      <c r="E289" s="35">
        <v>4912.6400000000003</v>
      </c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>
        <v>3</v>
      </c>
      <c r="U289" s="35">
        <v>1784</v>
      </c>
      <c r="V289" s="35"/>
      <c r="W289" s="35"/>
      <c r="X289" s="35"/>
      <c r="Y289" s="35"/>
      <c r="Z289" s="35"/>
      <c r="AA289" s="35"/>
      <c r="AB289" s="35"/>
      <c r="AC289" s="35"/>
      <c r="AD289" s="35">
        <v>25</v>
      </c>
      <c r="AE289" s="35">
        <v>12697.1</v>
      </c>
      <c r="AF289" s="35"/>
      <c r="AG289" s="35"/>
      <c r="AH289" s="35"/>
      <c r="AI289" s="35"/>
      <c r="AJ289" s="35"/>
      <c r="AK289" s="35"/>
      <c r="AL289" s="35"/>
      <c r="AM289" s="35"/>
      <c r="AN289" s="36"/>
      <c r="AO289" s="36"/>
      <c r="AP289" s="36"/>
      <c r="AQ289" s="35"/>
      <c r="AR289" s="35"/>
      <c r="AS289" s="35"/>
      <c r="AT289" s="35"/>
      <c r="AU289" s="35"/>
    </row>
    <row r="290" spans="1:47" s="7" customFormat="1" ht="15.75" customHeight="1" x14ac:dyDescent="0.35">
      <c r="A290" s="13" t="s">
        <v>146</v>
      </c>
      <c r="B290" s="33">
        <v>187062.36</v>
      </c>
      <c r="C290" s="35">
        <f t="shared" si="4"/>
        <v>11501.77</v>
      </c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>
        <v>9</v>
      </c>
      <c r="Q290" s="35">
        <v>4708.7700000000004</v>
      </c>
      <c r="R290" s="35">
        <v>1</v>
      </c>
      <c r="S290" s="35">
        <v>301</v>
      </c>
      <c r="T290" s="35"/>
      <c r="U290" s="35"/>
      <c r="V290" s="35"/>
      <c r="W290" s="35"/>
      <c r="X290" s="35"/>
      <c r="Y290" s="35"/>
      <c r="Z290" s="35"/>
      <c r="AA290" s="35"/>
      <c r="AB290" s="35"/>
      <c r="AC290" s="35"/>
      <c r="AD290" s="35">
        <v>1.5</v>
      </c>
      <c r="AE290" s="35">
        <v>1300</v>
      </c>
      <c r="AF290" s="35"/>
      <c r="AG290" s="35"/>
      <c r="AH290" s="35"/>
      <c r="AI290" s="35"/>
      <c r="AJ290" s="35">
        <v>50</v>
      </c>
      <c r="AK290" s="35">
        <v>1297</v>
      </c>
      <c r="AL290" s="35">
        <v>2</v>
      </c>
      <c r="AM290" s="35">
        <v>2908</v>
      </c>
      <c r="AN290" s="36">
        <v>1</v>
      </c>
      <c r="AO290" s="36">
        <v>987</v>
      </c>
      <c r="AP290" s="36"/>
      <c r="AQ290" s="35"/>
      <c r="AR290" s="35"/>
      <c r="AS290" s="35"/>
      <c r="AT290" s="35"/>
      <c r="AU290" s="35"/>
    </row>
    <row r="291" spans="1:47" s="7" customFormat="1" ht="15.75" customHeight="1" x14ac:dyDescent="0.35">
      <c r="A291" s="13" t="s">
        <v>147</v>
      </c>
      <c r="B291" s="33">
        <v>197661.96</v>
      </c>
      <c r="C291" s="35">
        <f t="shared" si="4"/>
        <v>41682.03</v>
      </c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>
        <v>3</v>
      </c>
      <c r="S291" s="35">
        <f>3443.6+367</f>
        <v>3810.6</v>
      </c>
      <c r="T291" s="35">
        <v>4</v>
      </c>
      <c r="U291" s="35">
        <v>4667.8100000000004</v>
      </c>
      <c r="V291" s="35">
        <v>2.5</v>
      </c>
      <c r="W291" s="35">
        <v>3201.15</v>
      </c>
      <c r="X291" s="35"/>
      <c r="Y291" s="35"/>
      <c r="Z291" s="35"/>
      <c r="AA291" s="35"/>
      <c r="AB291" s="35"/>
      <c r="AC291" s="35"/>
      <c r="AD291" s="35">
        <v>8</v>
      </c>
      <c r="AE291" s="35">
        <v>10324</v>
      </c>
      <c r="AF291" s="35"/>
      <c r="AG291" s="35"/>
      <c r="AH291" s="35"/>
      <c r="AI291" s="35"/>
      <c r="AJ291" s="35"/>
      <c r="AK291" s="35"/>
      <c r="AL291" s="35">
        <v>3</v>
      </c>
      <c r="AM291" s="35">
        <f>3201+442.62+17262</f>
        <v>20905.62</v>
      </c>
      <c r="AN291" s="36">
        <v>2</v>
      </c>
      <c r="AO291" s="36">
        <v>1974</v>
      </c>
      <c r="AP291" s="36"/>
      <c r="AQ291" s="35"/>
      <c r="AR291" s="35"/>
      <c r="AS291" s="35"/>
      <c r="AT291" s="35"/>
      <c r="AU291" s="35"/>
    </row>
    <row r="292" spans="1:47" s="7" customFormat="1" ht="15.75" customHeight="1" x14ac:dyDescent="0.35">
      <c r="A292" s="13" t="s">
        <v>148</v>
      </c>
      <c r="B292" s="33">
        <v>67026.59</v>
      </c>
      <c r="C292" s="35">
        <f t="shared" si="4"/>
        <v>1851.29</v>
      </c>
      <c r="D292" s="35"/>
      <c r="E292" s="35"/>
      <c r="F292" s="35"/>
      <c r="G292" s="35"/>
      <c r="H292" s="35"/>
      <c r="I292" s="35"/>
      <c r="J292" s="35">
        <v>18</v>
      </c>
      <c r="K292" s="35">
        <v>1851.29</v>
      </c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  <c r="AF292" s="35"/>
      <c r="AG292" s="35"/>
      <c r="AH292" s="35"/>
      <c r="AI292" s="35"/>
      <c r="AJ292" s="35"/>
      <c r="AK292" s="35"/>
      <c r="AL292" s="35"/>
      <c r="AM292" s="35"/>
      <c r="AN292" s="36"/>
      <c r="AO292" s="36"/>
      <c r="AP292" s="36"/>
      <c r="AQ292" s="35"/>
      <c r="AR292" s="35"/>
      <c r="AS292" s="35"/>
      <c r="AT292" s="35"/>
      <c r="AU292" s="35"/>
    </row>
    <row r="293" spans="1:47" s="7" customFormat="1" ht="15.75" customHeight="1" x14ac:dyDescent="0.35">
      <c r="A293" s="13" t="s">
        <v>3</v>
      </c>
      <c r="B293" s="33">
        <v>98259.05</v>
      </c>
      <c r="C293" s="35">
        <f t="shared" si="4"/>
        <v>152191.94999999998</v>
      </c>
      <c r="D293" s="35"/>
      <c r="E293" s="35"/>
      <c r="F293" s="35"/>
      <c r="G293" s="35"/>
      <c r="H293" s="35">
        <v>50</v>
      </c>
      <c r="I293" s="35">
        <f>1126.46+137000</f>
        <v>138126.46</v>
      </c>
      <c r="J293" s="35"/>
      <c r="K293" s="35"/>
      <c r="L293" s="35"/>
      <c r="M293" s="35"/>
      <c r="N293" s="35"/>
      <c r="O293" s="35"/>
      <c r="P293" s="35">
        <v>3</v>
      </c>
      <c r="Q293" s="35">
        <v>1575</v>
      </c>
      <c r="R293" s="35"/>
      <c r="S293" s="35"/>
      <c r="T293" s="35"/>
      <c r="U293" s="35"/>
      <c r="V293" s="35"/>
      <c r="W293" s="35"/>
      <c r="X293" s="35"/>
      <c r="Y293" s="35"/>
      <c r="Z293" s="35"/>
      <c r="AA293" s="35"/>
      <c r="AB293" s="35"/>
      <c r="AC293" s="35"/>
      <c r="AD293" s="35">
        <v>30</v>
      </c>
      <c r="AE293" s="35">
        <v>5338</v>
      </c>
      <c r="AF293" s="35"/>
      <c r="AG293" s="35"/>
      <c r="AH293" s="35">
        <v>3</v>
      </c>
      <c r="AI293" s="35">
        <v>3048</v>
      </c>
      <c r="AJ293" s="35">
        <v>7</v>
      </c>
      <c r="AK293" s="35">
        <v>3223.89</v>
      </c>
      <c r="AL293" s="35"/>
      <c r="AM293" s="35"/>
      <c r="AN293" s="36">
        <v>2</v>
      </c>
      <c r="AO293" s="36">
        <v>880.6</v>
      </c>
      <c r="AP293" s="36"/>
      <c r="AQ293" s="35"/>
      <c r="AR293" s="35"/>
      <c r="AS293" s="35"/>
      <c r="AT293" s="35"/>
      <c r="AU293" s="35"/>
    </row>
    <row r="294" spans="1:47" s="7" customFormat="1" ht="15.75" customHeight="1" x14ac:dyDescent="0.35">
      <c r="A294" s="13" t="s">
        <v>286</v>
      </c>
      <c r="B294" s="33">
        <v>180480.86</v>
      </c>
      <c r="C294" s="35">
        <f t="shared" si="4"/>
        <v>57516.134999999995</v>
      </c>
      <c r="D294" s="35"/>
      <c r="E294" s="35"/>
      <c r="F294" s="35"/>
      <c r="G294" s="35"/>
      <c r="H294" s="35"/>
      <c r="I294" s="35"/>
      <c r="J294" s="35">
        <v>3</v>
      </c>
      <c r="K294" s="35">
        <v>225.3</v>
      </c>
      <c r="L294" s="35"/>
      <c r="M294" s="35"/>
      <c r="N294" s="35"/>
      <c r="O294" s="35"/>
      <c r="P294" s="35">
        <v>8</v>
      </c>
      <c r="Q294" s="35">
        <v>3496</v>
      </c>
      <c r="R294" s="35"/>
      <c r="S294" s="35"/>
      <c r="T294" s="35"/>
      <c r="U294" s="35"/>
      <c r="V294" s="35"/>
      <c r="W294" s="35"/>
      <c r="X294" s="35"/>
      <c r="Y294" s="35"/>
      <c r="Z294" s="35"/>
      <c r="AA294" s="35"/>
      <c r="AB294" s="35"/>
      <c r="AC294" s="35"/>
      <c r="AD294" s="35"/>
      <c r="AE294" s="35"/>
      <c r="AF294" s="35"/>
      <c r="AG294" s="35"/>
      <c r="AH294" s="35"/>
      <c r="AI294" s="35"/>
      <c r="AJ294" s="35">
        <v>105</v>
      </c>
      <c r="AK294" s="35">
        <f>7106.24+22261.3+327</f>
        <v>29694.54</v>
      </c>
      <c r="AL294" s="35">
        <v>25</v>
      </c>
      <c r="AM294" s="35">
        <f>16310.4+461.805+559.78</f>
        <v>17331.984999999997</v>
      </c>
      <c r="AN294" s="36">
        <v>6</v>
      </c>
      <c r="AO294" s="36">
        <v>6768.31</v>
      </c>
      <c r="AP294" s="36"/>
      <c r="AQ294" s="35"/>
      <c r="AR294" s="35"/>
      <c r="AS294" s="35"/>
      <c r="AT294" s="35"/>
      <c r="AU294" s="35"/>
    </row>
    <row r="295" spans="1:47" s="7" customFormat="1" ht="15.75" customHeight="1" x14ac:dyDescent="0.35">
      <c r="A295" s="12" t="s">
        <v>290</v>
      </c>
      <c r="B295" s="33">
        <v>411580.68</v>
      </c>
      <c r="C295" s="35">
        <f t="shared" si="4"/>
        <v>2286659.7000000002</v>
      </c>
      <c r="D295" s="35">
        <v>50</v>
      </c>
      <c r="E295" s="35">
        <v>50036.91</v>
      </c>
      <c r="F295" s="35"/>
      <c r="G295" s="35"/>
      <c r="H295" s="35">
        <v>2748</v>
      </c>
      <c r="I295" s="35">
        <v>1757447.75</v>
      </c>
      <c r="J295" s="35">
        <v>111</v>
      </c>
      <c r="K295" s="35">
        <f>750.98+10261+63619.6</f>
        <v>74631.58</v>
      </c>
      <c r="L295" s="35"/>
      <c r="M295" s="35"/>
      <c r="N295" s="35"/>
      <c r="O295" s="35"/>
      <c r="P295" s="35">
        <v>8</v>
      </c>
      <c r="Q295" s="35">
        <f>2823.7+1651.82</f>
        <v>4475.5199999999995</v>
      </c>
      <c r="R295" s="35">
        <v>7</v>
      </c>
      <c r="S295" s="35">
        <f>1145.9+26796</f>
        <v>27941.9</v>
      </c>
      <c r="T295" s="35">
        <v>9</v>
      </c>
      <c r="U295" s="35">
        <f>10276.2+4992</f>
        <v>15268.2</v>
      </c>
      <c r="V295" s="35">
        <v>22</v>
      </c>
      <c r="W295" s="35">
        <v>29829.7</v>
      </c>
      <c r="X295" s="35"/>
      <c r="Y295" s="35"/>
      <c r="Z295" s="35">
        <v>2.1</v>
      </c>
      <c r="AA295" s="35">
        <v>5780.91</v>
      </c>
      <c r="AB295" s="35"/>
      <c r="AC295" s="35"/>
      <c r="AD295" s="35"/>
      <c r="AE295" s="35"/>
      <c r="AF295" s="35"/>
      <c r="AG295" s="35"/>
      <c r="AH295" s="35">
        <v>3</v>
      </c>
      <c r="AI295" s="35">
        <f>35587.53+1285.78</f>
        <v>36873.31</v>
      </c>
      <c r="AJ295" s="35">
        <v>219</v>
      </c>
      <c r="AK295" s="35">
        <f>1035.34+23572.23+58</f>
        <v>24665.57</v>
      </c>
      <c r="AL295" s="35">
        <v>41</v>
      </c>
      <c r="AM295" s="35">
        <f>115241+1122</f>
        <v>116363</v>
      </c>
      <c r="AN295" s="36"/>
      <c r="AO295" s="36"/>
      <c r="AP295" s="36"/>
      <c r="AQ295" s="35">
        <v>173175.05</v>
      </c>
      <c r="AR295" s="35"/>
      <c r="AS295" s="35"/>
      <c r="AT295" s="35"/>
      <c r="AU295" s="35"/>
    </row>
    <row r="296" spans="1:47" s="7" customFormat="1" ht="15.75" customHeight="1" x14ac:dyDescent="0.35">
      <c r="A296" s="12" t="s">
        <v>289</v>
      </c>
      <c r="B296" s="33">
        <v>607288.80000000005</v>
      </c>
      <c r="C296" s="35">
        <f t="shared" si="4"/>
        <v>400522.51</v>
      </c>
      <c r="D296" s="35">
        <v>8</v>
      </c>
      <c r="E296" s="35">
        <f>1612.07+4420</f>
        <v>6032.07</v>
      </c>
      <c r="F296" s="35">
        <v>27</v>
      </c>
      <c r="G296" s="35">
        <v>70000</v>
      </c>
      <c r="H296" s="35"/>
      <c r="I296" s="35"/>
      <c r="J296" s="35"/>
      <c r="K296" s="35"/>
      <c r="L296" s="35">
        <v>440</v>
      </c>
      <c r="M296" s="35">
        <v>221303</v>
      </c>
      <c r="N296" s="35"/>
      <c r="O296" s="35"/>
      <c r="P296" s="35">
        <v>17</v>
      </c>
      <c r="Q296" s="35">
        <f>2888.6+1605.79+2680.98</f>
        <v>7175.369999999999</v>
      </c>
      <c r="R296" s="35">
        <v>2</v>
      </c>
      <c r="S296" s="35">
        <f>12110.2+12172.8</f>
        <v>24283</v>
      </c>
      <c r="T296" s="35">
        <v>4</v>
      </c>
      <c r="U296" s="35">
        <v>3158</v>
      </c>
      <c r="V296" s="35"/>
      <c r="W296" s="35"/>
      <c r="X296" s="35"/>
      <c r="Y296" s="35"/>
      <c r="Z296" s="35"/>
      <c r="AA296" s="35"/>
      <c r="AB296" s="35"/>
      <c r="AC296" s="35"/>
      <c r="AD296" s="35">
        <v>6</v>
      </c>
      <c r="AE296" s="35">
        <f>3904.3+1403</f>
        <v>5307.3</v>
      </c>
      <c r="AF296" s="35"/>
      <c r="AG296" s="35"/>
      <c r="AH296" s="35"/>
      <c r="AI296" s="35"/>
      <c r="AJ296" s="35">
        <v>85</v>
      </c>
      <c r="AK296" s="35">
        <v>11345</v>
      </c>
      <c r="AL296" s="35">
        <v>1</v>
      </c>
      <c r="AM296" s="35">
        <v>561</v>
      </c>
      <c r="AN296" s="36"/>
      <c r="AO296" s="36"/>
      <c r="AP296" s="36"/>
      <c r="AQ296" s="35">
        <v>51357.77</v>
      </c>
      <c r="AR296" s="35"/>
      <c r="AS296" s="35"/>
      <c r="AT296" s="35"/>
      <c r="AU296" s="35"/>
    </row>
    <row r="297" spans="1:47" s="7" customFormat="1" ht="15.75" customHeight="1" x14ac:dyDescent="0.35">
      <c r="A297" s="12" t="s">
        <v>288</v>
      </c>
      <c r="B297" s="33">
        <v>112730.26</v>
      </c>
      <c r="C297" s="35">
        <f t="shared" si="4"/>
        <v>18458.900000000001</v>
      </c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>
        <v>4</v>
      </c>
      <c r="Q297" s="35">
        <f>1197.94+356</f>
        <v>1553.94</v>
      </c>
      <c r="R297" s="35">
        <v>3</v>
      </c>
      <c r="S297" s="35">
        <f>376.48+376.48+678</f>
        <v>1430.96</v>
      </c>
      <c r="T297" s="35">
        <v>2</v>
      </c>
      <c r="U297" s="35">
        <v>821</v>
      </c>
      <c r="V297" s="35"/>
      <c r="W297" s="35"/>
      <c r="X297" s="35"/>
      <c r="Y297" s="35"/>
      <c r="Z297" s="35"/>
      <c r="AA297" s="35"/>
      <c r="AB297" s="35"/>
      <c r="AC297" s="35"/>
      <c r="AD297" s="35"/>
      <c r="AE297" s="35"/>
      <c r="AF297" s="35"/>
      <c r="AG297" s="35"/>
      <c r="AH297" s="35"/>
      <c r="AI297" s="35"/>
      <c r="AJ297" s="35"/>
      <c r="AK297" s="35"/>
      <c r="AL297" s="35">
        <v>20</v>
      </c>
      <c r="AM297" s="35">
        <v>14653</v>
      </c>
      <c r="AN297" s="36"/>
      <c r="AO297" s="36"/>
      <c r="AP297" s="36"/>
      <c r="AQ297" s="35"/>
      <c r="AR297" s="35"/>
      <c r="AS297" s="35"/>
      <c r="AT297" s="35"/>
      <c r="AU297" s="35"/>
    </row>
    <row r="298" spans="1:47" s="7" customFormat="1" ht="15.75" customHeight="1" x14ac:dyDescent="0.35">
      <c r="A298" s="12" t="s">
        <v>287</v>
      </c>
      <c r="B298" s="33">
        <v>146580.84</v>
      </c>
      <c r="C298" s="35">
        <f t="shared" si="4"/>
        <v>16609.400000000001</v>
      </c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>
        <v>4</v>
      </c>
      <c r="Q298" s="35">
        <f>1197.78+1575+512+1197.94</f>
        <v>4482.7199999999993</v>
      </c>
      <c r="R298" s="35"/>
      <c r="S298" s="35"/>
      <c r="T298" s="35"/>
      <c r="U298" s="35"/>
      <c r="V298" s="35"/>
      <c r="W298" s="35"/>
      <c r="X298" s="35"/>
      <c r="Y298" s="35"/>
      <c r="Z298" s="35">
        <v>1.9</v>
      </c>
      <c r="AA298" s="35">
        <v>2721.66</v>
      </c>
      <c r="AB298" s="35"/>
      <c r="AC298" s="35"/>
      <c r="AD298" s="35">
        <v>3</v>
      </c>
      <c r="AE298" s="35">
        <v>1108.02</v>
      </c>
      <c r="AF298" s="35"/>
      <c r="AG298" s="35"/>
      <c r="AH298" s="35"/>
      <c r="AI298" s="35"/>
      <c r="AJ298" s="35">
        <v>10</v>
      </c>
      <c r="AK298" s="35">
        <v>8297</v>
      </c>
      <c r="AL298" s="35"/>
      <c r="AM298" s="35"/>
      <c r="AN298" s="36"/>
      <c r="AO298" s="36"/>
      <c r="AP298" s="36"/>
      <c r="AQ298" s="35"/>
      <c r="AR298" s="35"/>
      <c r="AS298" s="35"/>
      <c r="AT298" s="35"/>
      <c r="AU298" s="35"/>
    </row>
    <row r="299" spans="1:47" s="7" customFormat="1" ht="15.75" customHeight="1" x14ac:dyDescent="0.35">
      <c r="A299" s="12" t="s">
        <v>150</v>
      </c>
      <c r="B299" s="33">
        <v>88156.27</v>
      </c>
      <c r="C299" s="35">
        <f t="shared" si="4"/>
        <v>220475.51999999999</v>
      </c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>
        <f>1.9+2.1</f>
        <v>4</v>
      </c>
      <c r="AA299" s="35">
        <f>5781.43+5118</f>
        <v>10899.43</v>
      </c>
      <c r="AB299" s="35"/>
      <c r="AC299" s="35"/>
      <c r="AD299" s="35">
        <v>12</v>
      </c>
      <c r="AE299" s="35">
        <v>4505.88</v>
      </c>
      <c r="AF299" s="35"/>
      <c r="AG299" s="35"/>
      <c r="AH299" s="35">
        <v>2</v>
      </c>
      <c r="AI299" s="35">
        <v>2022.6</v>
      </c>
      <c r="AJ299" s="35">
        <v>50</v>
      </c>
      <c r="AK299" s="35">
        <v>20855.599999999999</v>
      </c>
      <c r="AL299" s="35">
        <v>8</v>
      </c>
      <c r="AM299" s="35">
        <v>9458.9699999999993</v>
      </c>
      <c r="AN299" s="36">
        <v>4</v>
      </c>
      <c r="AO299" s="36">
        <v>10313.85</v>
      </c>
      <c r="AP299" s="36"/>
      <c r="AQ299" s="35"/>
      <c r="AR299" s="35">
        <v>29.76</v>
      </c>
      <c r="AS299" s="35">
        <v>162419.19</v>
      </c>
      <c r="AT299" s="35"/>
      <c r="AU299" s="35"/>
    </row>
    <row r="300" spans="1:47" s="7" customFormat="1" ht="15.75" customHeight="1" x14ac:dyDescent="0.35">
      <c r="A300" s="12" t="s">
        <v>151</v>
      </c>
      <c r="B300" s="33">
        <v>168131.72</v>
      </c>
      <c r="C300" s="35">
        <f t="shared" si="4"/>
        <v>121340.14300000001</v>
      </c>
      <c r="D300" s="35"/>
      <c r="E300" s="35"/>
      <c r="F300" s="35"/>
      <c r="G300" s="35"/>
      <c r="H300" s="35"/>
      <c r="I300" s="35"/>
      <c r="J300" s="35">
        <f>3+3</f>
        <v>6</v>
      </c>
      <c r="K300" s="35">
        <f>1884.51+31408.2+328.87</f>
        <v>33621.58</v>
      </c>
      <c r="L300" s="35"/>
      <c r="M300" s="35"/>
      <c r="N300" s="35"/>
      <c r="O300" s="35"/>
      <c r="P300" s="35">
        <v>2</v>
      </c>
      <c r="Q300" s="35">
        <v>2137.5</v>
      </c>
      <c r="R300" s="35"/>
      <c r="S300" s="35"/>
      <c r="T300" s="35"/>
      <c r="U300" s="35"/>
      <c r="V300" s="35"/>
      <c r="W300" s="35"/>
      <c r="X300" s="35"/>
      <c r="Y300" s="35"/>
      <c r="Z300" s="35">
        <v>5</v>
      </c>
      <c r="AA300" s="35">
        <v>3812.9929999999999</v>
      </c>
      <c r="AB300" s="35"/>
      <c r="AC300" s="35"/>
      <c r="AD300" s="35"/>
      <c r="AE300" s="35"/>
      <c r="AF300" s="35"/>
      <c r="AG300" s="35"/>
      <c r="AH300" s="35">
        <v>5</v>
      </c>
      <c r="AI300" s="35">
        <f>474.63+1253</f>
        <v>1727.63</v>
      </c>
      <c r="AJ300" s="35">
        <v>2</v>
      </c>
      <c r="AK300" s="35">
        <v>228</v>
      </c>
      <c r="AL300" s="35"/>
      <c r="AM300" s="35"/>
      <c r="AN300" s="36"/>
      <c r="AO300" s="36"/>
      <c r="AP300" s="36"/>
      <c r="AQ300" s="35"/>
      <c r="AR300" s="35">
        <v>14.63</v>
      </c>
      <c r="AS300" s="35">
        <v>79812.44</v>
      </c>
      <c r="AT300" s="35"/>
      <c r="AU300" s="35"/>
    </row>
    <row r="301" spans="1:47" s="7" customFormat="1" ht="15.75" customHeight="1" x14ac:dyDescent="0.35">
      <c r="A301" s="12" t="s">
        <v>152</v>
      </c>
      <c r="B301" s="33">
        <v>113641.74</v>
      </c>
      <c r="C301" s="35">
        <f t="shared" si="4"/>
        <v>115662.34999999999</v>
      </c>
      <c r="D301" s="35"/>
      <c r="E301" s="35"/>
      <c r="F301" s="35"/>
      <c r="G301" s="35"/>
      <c r="H301" s="35"/>
      <c r="I301" s="35"/>
      <c r="J301" s="35">
        <v>26</v>
      </c>
      <c r="K301" s="35">
        <f>1126.46+7677.69</f>
        <v>8804.15</v>
      </c>
      <c r="L301" s="35">
        <v>483</v>
      </c>
      <c r="M301" s="35">
        <v>103892</v>
      </c>
      <c r="N301" s="35"/>
      <c r="O301" s="35"/>
      <c r="P301" s="35">
        <v>2</v>
      </c>
      <c r="Q301" s="35">
        <v>1024.25</v>
      </c>
      <c r="R301" s="35">
        <v>2</v>
      </c>
      <c r="S301" s="35">
        <v>752.95</v>
      </c>
      <c r="T301" s="35">
        <v>2</v>
      </c>
      <c r="U301" s="35">
        <v>1189</v>
      </c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F301" s="35"/>
      <c r="AG301" s="35"/>
      <c r="AH301" s="35"/>
      <c r="AI301" s="35"/>
      <c r="AJ301" s="35"/>
      <c r="AK301" s="35"/>
      <c r="AL301" s="35"/>
      <c r="AM301" s="35"/>
      <c r="AN301" s="36"/>
      <c r="AO301" s="36"/>
      <c r="AP301" s="36"/>
      <c r="AQ301" s="35"/>
      <c r="AR301" s="35"/>
      <c r="AS301" s="35"/>
      <c r="AT301" s="35"/>
      <c r="AU301" s="35"/>
    </row>
    <row r="302" spans="1:47" s="7" customFormat="1" ht="15.75" customHeight="1" x14ac:dyDescent="0.35">
      <c r="A302" s="12" t="s">
        <v>153</v>
      </c>
      <c r="B302" s="33">
        <v>108137.8</v>
      </c>
      <c r="C302" s="35">
        <f t="shared" si="4"/>
        <v>247959.23</v>
      </c>
      <c r="D302" s="35"/>
      <c r="E302" s="35"/>
      <c r="F302" s="35"/>
      <c r="G302" s="35"/>
      <c r="H302" s="35"/>
      <c r="I302" s="35"/>
      <c r="J302" s="35">
        <v>10</v>
      </c>
      <c r="K302" s="35">
        <v>4397.1899999999996</v>
      </c>
      <c r="L302" s="35">
        <v>442</v>
      </c>
      <c r="M302" s="35">
        <v>116837</v>
      </c>
      <c r="N302" s="35"/>
      <c r="O302" s="35"/>
      <c r="P302" s="35"/>
      <c r="Q302" s="35"/>
      <c r="R302" s="35"/>
      <c r="S302" s="35"/>
      <c r="T302" s="35">
        <v>1</v>
      </c>
      <c r="U302" s="35">
        <v>1784</v>
      </c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  <c r="AF302" s="35"/>
      <c r="AG302" s="35"/>
      <c r="AH302" s="35"/>
      <c r="AI302" s="35"/>
      <c r="AJ302" s="35">
        <f>47+45</f>
        <v>92</v>
      </c>
      <c r="AK302" s="35">
        <f>5460.7+6507+11457</f>
        <v>23424.7</v>
      </c>
      <c r="AL302" s="35">
        <v>19</v>
      </c>
      <c r="AM302" s="35">
        <f>17675.1+8885.62</f>
        <v>26560.720000000001</v>
      </c>
      <c r="AN302" s="36">
        <v>9</v>
      </c>
      <c r="AO302" s="36">
        <f>5640.26+4434.98</f>
        <v>10075.24</v>
      </c>
      <c r="AP302" s="36"/>
      <c r="AQ302" s="35"/>
      <c r="AR302" s="35">
        <v>11.89</v>
      </c>
      <c r="AS302" s="35">
        <v>64880.38</v>
      </c>
      <c r="AT302" s="35"/>
      <c r="AU302" s="35"/>
    </row>
    <row r="303" spans="1:47" s="7" customFormat="1" ht="15.75" customHeight="1" x14ac:dyDescent="0.35">
      <c r="A303" s="12" t="s">
        <v>154</v>
      </c>
      <c r="B303" s="33">
        <v>173051.64</v>
      </c>
      <c r="C303" s="35">
        <f t="shared" si="4"/>
        <v>42025.58</v>
      </c>
      <c r="D303" s="35"/>
      <c r="E303" s="35"/>
      <c r="F303" s="35"/>
      <c r="G303" s="35"/>
      <c r="H303" s="35"/>
      <c r="I303" s="35"/>
      <c r="J303" s="35">
        <v>25</v>
      </c>
      <c r="K303" s="35">
        <v>15704.25</v>
      </c>
      <c r="L303" s="35"/>
      <c r="M303" s="35"/>
      <c r="N303" s="35"/>
      <c r="O303" s="35"/>
      <c r="P303" s="35">
        <v>5</v>
      </c>
      <c r="Q303" s="35">
        <v>2217</v>
      </c>
      <c r="R303" s="35"/>
      <c r="S303" s="35"/>
      <c r="T303" s="35">
        <v>4</v>
      </c>
      <c r="U303" s="35">
        <f>9303.73+5996</f>
        <v>15299.73</v>
      </c>
      <c r="V303" s="35"/>
      <c r="W303" s="35"/>
      <c r="X303" s="35"/>
      <c r="Y303" s="35"/>
      <c r="Z303" s="35">
        <v>2</v>
      </c>
      <c r="AA303" s="35">
        <v>251.33</v>
      </c>
      <c r="AB303" s="35"/>
      <c r="AC303" s="35"/>
      <c r="AD303" s="35">
        <v>8</v>
      </c>
      <c r="AE303" s="35">
        <v>2899</v>
      </c>
      <c r="AF303" s="35"/>
      <c r="AG303" s="35"/>
      <c r="AH303" s="35">
        <v>8</v>
      </c>
      <c r="AI303" s="35">
        <f>1753.9+2437.37</f>
        <v>4191.2700000000004</v>
      </c>
      <c r="AJ303" s="35">
        <v>20</v>
      </c>
      <c r="AK303" s="35">
        <v>1463</v>
      </c>
      <c r="AL303" s="35"/>
      <c r="AM303" s="35"/>
      <c r="AN303" s="36"/>
      <c r="AO303" s="36"/>
      <c r="AP303" s="36"/>
      <c r="AQ303" s="35"/>
      <c r="AR303" s="35"/>
      <c r="AS303" s="35"/>
      <c r="AT303" s="35"/>
      <c r="AU303" s="35"/>
    </row>
    <row r="304" spans="1:47" s="7" customFormat="1" ht="15.75" customHeight="1" x14ac:dyDescent="0.35">
      <c r="A304" s="12" t="s">
        <v>155</v>
      </c>
      <c r="B304" s="33">
        <v>173300.58</v>
      </c>
      <c r="C304" s="35">
        <f t="shared" si="4"/>
        <v>236277.7</v>
      </c>
      <c r="D304" s="35"/>
      <c r="E304" s="35"/>
      <c r="F304" s="35"/>
      <c r="G304" s="35"/>
      <c r="H304" s="35"/>
      <c r="I304" s="35"/>
      <c r="J304" s="35">
        <v>136</v>
      </c>
      <c r="K304" s="35">
        <f>50881.77+34549.35</f>
        <v>85431.12</v>
      </c>
      <c r="L304" s="35"/>
      <c r="M304" s="35"/>
      <c r="N304" s="35"/>
      <c r="O304" s="35"/>
      <c r="P304" s="35">
        <v>72</v>
      </c>
      <c r="Q304" s="35">
        <v>39479.199999999997</v>
      </c>
      <c r="R304" s="35"/>
      <c r="S304" s="35"/>
      <c r="T304" s="35"/>
      <c r="U304" s="35"/>
      <c r="V304" s="35"/>
      <c r="W304" s="35"/>
      <c r="X304" s="35"/>
      <c r="Y304" s="35"/>
      <c r="Z304" s="35">
        <v>3</v>
      </c>
      <c r="AA304" s="35">
        <v>8081</v>
      </c>
      <c r="AB304" s="35"/>
      <c r="AC304" s="35"/>
      <c r="AD304" s="35">
        <v>1</v>
      </c>
      <c r="AE304" s="35">
        <v>6860.45</v>
      </c>
      <c r="AF304" s="35"/>
      <c r="AG304" s="35"/>
      <c r="AH304" s="35"/>
      <c r="AI304" s="35"/>
      <c r="AJ304" s="35"/>
      <c r="AK304" s="35"/>
      <c r="AL304" s="35">
        <v>7</v>
      </c>
      <c r="AM304" s="35">
        <f>5467.67+1372.85</f>
        <v>6840.52</v>
      </c>
      <c r="AN304" s="36">
        <v>1</v>
      </c>
      <c r="AO304" s="36">
        <v>1128.06</v>
      </c>
      <c r="AP304" s="36"/>
      <c r="AQ304" s="35"/>
      <c r="AR304" s="35">
        <v>16.21</v>
      </c>
      <c r="AS304" s="35">
        <v>88457.35</v>
      </c>
      <c r="AT304" s="35"/>
      <c r="AU304" s="35"/>
    </row>
    <row r="305" spans="1:47" s="7" customFormat="1" ht="15.75" customHeight="1" x14ac:dyDescent="0.35">
      <c r="A305" s="12" t="s">
        <v>156</v>
      </c>
      <c r="B305" s="33">
        <v>46421.17</v>
      </c>
      <c r="C305" s="35">
        <f t="shared" si="4"/>
        <v>62154.28</v>
      </c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>
        <v>1</v>
      </c>
      <c r="S305" s="35">
        <v>367</v>
      </c>
      <c r="T305" s="35">
        <v>3</v>
      </c>
      <c r="U305" s="35">
        <v>1795</v>
      </c>
      <c r="V305" s="35"/>
      <c r="W305" s="35"/>
      <c r="X305" s="35"/>
      <c r="Y305" s="35"/>
      <c r="Z305" s="35"/>
      <c r="AA305" s="35"/>
      <c r="AB305" s="35"/>
      <c r="AC305" s="35"/>
      <c r="AD305" s="35"/>
      <c r="AE305" s="35"/>
      <c r="AF305" s="35"/>
      <c r="AG305" s="35"/>
      <c r="AH305" s="35"/>
      <c r="AI305" s="35"/>
      <c r="AJ305" s="35">
        <v>50</v>
      </c>
      <c r="AK305" s="35">
        <v>7202.94</v>
      </c>
      <c r="AL305" s="35">
        <v>5</v>
      </c>
      <c r="AM305" s="35">
        <v>4140.82</v>
      </c>
      <c r="AN305" s="36">
        <v>1</v>
      </c>
      <c r="AO305" s="36">
        <v>1931.2</v>
      </c>
      <c r="AP305" s="36"/>
      <c r="AQ305" s="35"/>
      <c r="AR305" s="35">
        <v>8.56</v>
      </c>
      <c r="AS305" s="35">
        <v>46717.32</v>
      </c>
      <c r="AT305" s="35"/>
      <c r="AU305" s="35"/>
    </row>
    <row r="306" spans="1:47" s="7" customFormat="1" ht="15.75" customHeight="1" x14ac:dyDescent="0.35">
      <c r="A306" s="12" t="s">
        <v>157</v>
      </c>
      <c r="B306" s="33">
        <v>178386.76</v>
      </c>
      <c r="C306" s="35">
        <f t="shared" si="4"/>
        <v>18491.158000000003</v>
      </c>
      <c r="D306" s="35"/>
      <c r="E306" s="35"/>
      <c r="F306" s="35"/>
      <c r="G306" s="35"/>
      <c r="H306" s="35"/>
      <c r="I306" s="35"/>
      <c r="J306" s="35"/>
      <c r="K306" s="35">
        <v>16458</v>
      </c>
      <c r="L306" s="35"/>
      <c r="M306" s="35"/>
      <c r="N306" s="35"/>
      <c r="O306" s="35"/>
      <c r="P306" s="35"/>
      <c r="Q306" s="35"/>
      <c r="R306" s="35">
        <v>2</v>
      </c>
      <c r="S306" s="35">
        <v>376.48</v>
      </c>
      <c r="T306" s="35"/>
      <c r="U306" s="35"/>
      <c r="V306" s="35">
        <v>5</v>
      </c>
      <c r="W306" s="35">
        <f>3841.38+12615.8</f>
        <v>16457.18</v>
      </c>
      <c r="X306" s="35"/>
      <c r="Y306" s="35"/>
      <c r="Z306" s="35"/>
      <c r="AA306" s="35"/>
      <c r="AB306" s="35"/>
      <c r="AC306" s="35"/>
      <c r="AD306" s="35"/>
      <c r="AE306" s="35"/>
      <c r="AF306" s="35"/>
      <c r="AG306" s="35"/>
      <c r="AH306" s="35"/>
      <c r="AI306" s="35"/>
      <c r="AJ306" s="35">
        <v>28</v>
      </c>
      <c r="AK306" s="35">
        <v>341.185</v>
      </c>
      <c r="AL306" s="35">
        <v>3</v>
      </c>
      <c r="AM306" s="35">
        <f>112.253+107</f>
        <v>219.25299999999999</v>
      </c>
      <c r="AN306" s="36">
        <v>1</v>
      </c>
      <c r="AO306" s="36">
        <v>1096.24</v>
      </c>
      <c r="AP306" s="36"/>
      <c r="AQ306" s="35"/>
      <c r="AR306" s="35"/>
      <c r="AS306" s="35"/>
      <c r="AT306" s="35"/>
      <c r="AU306" s="35"/>
    </row>
    <row r="307" spans="1:47" s="7" customFormat="1" ht="15.75" customHeight="1" x14ac:dyDescent="0.35">
      <c r="A307" s="13" t="s">
        <v>158</v>
      </c>
      <c r="B307" s="33">
        <v>251684.85</v>
      </c>
      <c r="C307" s="35">
        <f t="shared" si="4"/>
        <v>194280.59</v>
      </c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>
        <v>2</v>
      </c>
      <c r="S307" s="35">
        <v>601</v>
      </c>
      <c r="T307" s="35">
        <v>3</v>
      </c>
      <c r="U307" s="35">
        <v>5384</v>
      </c>
      <c r="V307" s="35"/>
      <c r="W307" s="35"/>
      <c r="X307" s="35"/>
      <c r="Y307" s="35"/>
      <c r="Z307" s="35">
        <v>2.5</v>
      </c>
      <c r="AA307" s="35">
        <v>314.16000000000003</v>
      </c>
      <c r="AB307" s="35"/>
      <c r="AC307" s="35"/>
      <c r="AD307" s="35"/>
      <c r="AE307" s="35"/>
      <c r="AF307" s="35"/>
      <c r="AG307" s="35"/>
      <c r="AH307" s="35"/>
      <c r="AI307" s="35"/>
      <c r="AJ307" s="35"/>
      <c r="AK307" s="35"/>
      <c r="AL307" s="35"/>
      <c r="AM307" s="35"/>
      <c r="AN307" s="36">
        <v>2</v>
      </c>
      <c r="AO307" s="36">
        <f>865.52+9659</f>
        <v>10524.52</v>
      </c>
      <c r="AP307" s="36"/>
      <c r="AQ307" s="35">
        <v>20539</v>
      </c>
      <c r="AR307" s="35">
        <v>28.76</v>
      </c>
      <c r="AS307" s="35">
        <v>156917.91</v>
      </c>
      <c r="AT307" s="35"/>
      <c r="AU307" s="35"/>
    </row>
    <row r="308" spans="1:47" s="7" customFormat="1" ht="15.75" customHeight="1" x14ac:dyDescent="0.35">
      <c r="A308" s="13" t="s">
        <v>159</v>
      </c>
      <c r="B308" s="33">
        <v>584317.80000000005</v>
      </c>
      <c r="C308" s="35">
        <f t="shared" si="4"/>
        <v>73972.825599999996</v>
      </c>
      <c r="D308" s="35">
        <v>10</v>
      </c>
      <c r="E308" s="35">
        <v>9363.49</v>
      </c>
      <c r="F308" s="35"/>
      <c r="G308" s="35"/>
      <c r="H308" s="35"/>
      <c r="I308" s="35"/>
      <c r="J308" s="35">
        <v>46</v>
      </c>
      <c r="K308" s="35">
        <v>11789.38</v>
      </c>
      <c r="L308" s="35"/>
      <c r="M308" s="35"/>
      <c r="N308" s="35"/>
      <c r="O308" s="35"/>
      <c r="P308" s="35">
        <v>30</v>
      </c>
      <c r="Q308" s="35">
        <f>3796.97+5100.87+6632.99+1125.72</f>
        <v>16656.55</v>
      </c>
      <c r="R308" s="35">
        <v>2</v>
      </c>
      <c r="S308" s="35">
        <f>1145.9+367.11+302</f>
        <v>1815.0100000000002</v>
      </c>
      <c r="T308" s="35"/>
      <c r="U308" s="35"/>
      <c r="V308" s="35"/>
      <c r="W308" s="35"/>
      <c r="X308" s="35">
        <v>50</v>
      </c>
      <c r="Y308" s="35">
        <v>17232.4486</v>
      </c>
      <c r="Z308" s="35"/>
      <c r="AA308" s="35"/>
      <c r="AB308" s="35"/>
      <c r="AC308" s="35"/>
      <c r="AD308" s="35">
        <v>6</v>
      </c>
      <c r="AE308" s="35">
        <v>5592</v>
      </c>
      <c r="AF308" s="35"/>
      <c r="AG308" s="35"/>
      <c r="AH308" s="35"/>
      <c r="AI308" s="35"/>
      <c r="AJ308" s="35">
        <v>22</v>
      </c>
      <c r="AK308" s="35">
        <f>7001.53+811.864+2768.76</f>
        <v>10582.154</v>
      </c>
      <c r="AL308" s="35">
        <v>6</v>
      </c>
      <c r="AM308" s="35">
        <v>509.02800000000002</v>
      </c>
      <c r="AN308" s="36">
        <v>1</v>
      </c>
      <c r="AO308" s="36">
        <v>432.76499999999999</v>
      </c>
      <c r="AP308" s="36"/>
      <c r="AQ308" s="35"/>
      <c r="AR308" s="35"/>
      <c r="AS308" s="35"/>
      <c r="AT308" s="35"/>
      <c r="AU308" s="35"/>
    </row>
    <row r="309" spans="1:47" s="7" customFormat="1" ht="15.75" customHeight="1" x14ac:dyDescent="0.35">
      <c r="A309" s="50" t="s">
        <v>160</v>
      </c>
      <c r="B309" s="51">
        <v>750518.88</v>
      </c>
      <c r="C309" s="35">
        <f t="shared" si="4"/>
        <v>91799.394</v>
      </c>
      <c r="D309" s="41"/>
      <c r="E309" s="41"/>
      <c r="F309" s="41"/>
      <c r="G309" s="41"/>
      <c r="H309" s="41"/>
      <c r="I309" s="41"/>
      <c r="J309" s="41">
        <f>6.75+5</f>
        <v>11.75</v>
      </c>
      <c r="K309" s="41">
        <f>756.68+1090.43</f>
        <v>1847.1100000000001</v>
      </c>
      <c r="L309" s="41"/>
      <c r="M309" s="41"/>
      <c r="N309" s="41"/>
      <c r="O309" s="41"/>
      <c r="P309" s="41"/>
      <c r="Q309" s="41"/>
      <c r="R309" s="41">
        <v>3</v>
      </c>
      <c r="S309" s="41">
        <f>377.479+367+302+272.24</f>
        <v>1318.7190000000001</v>
      </c>
      <c r="T309" s="41">
        <v>6</v>
      </c>
      <c r="U309" s="41">
        <v>3589.98</v>
      </c>
      <c r="V309" s="41"/>
      <c r="W309" s="41"/>
      <c r="X309" s="41">
        <v>7</v>
      </c>
      <c r="Y309" s="41">
        <v>2158.2199999999998</v>
      </c>
      <c r="Z309" s="41"/>
      <c r="AA309" s="41"/>
      <c r="AB309" s="41"/>
      <c r="AC309" s="41"/>
      <c r="AD309" s="41">
        <f>4+62+7</f>
        <v>73</v>
      </c>
      <c r="AE309" s="41">
        <f>4800.26+4771.71+2037.79+25370</f>
        <v>36979.760000000002</v>
      </c>
      <c r="AF309" s="41"/>
      <c r="AG309" s="41"/>
      <c r="AH309" s="41">
        <v>28</v>
      </c>
      <c r="AI309" s="41">
        <f>409.93+409.93+6165.4+8193</f>
        <v>15178.259999999998</v>
      </c>
      <c r="AJ309" s="41">
        <v>95</v>
      </c>
      <c r="AK309" s="41">
        <f>3585.08+4059.33+6595.86</f>
        <v>14240.27</v>
      </c>
      <c r="AL309" s="41">
        <v>31</v>
      </c>
      <c r="AM309" s="41">
        <f>2802.75+11938.19</f>
        <v>14740.94</v>
      </c>
      <c r="AN309" s="42">
        <v>4</v>
      </c>
      <c r="AO309" s="42">
        <f>880.6+432.77+432.765</f>
        <v>1746.1349999999998</v>
      </c>
      <c r="AP309" s="42"/>
      <c r="AQ309" s="41"/>
      <c r="AR309" s="41"/>
      <c r="AS309" s="41"/>
      <c r="AT309" s="41"/>
      <c r="AU309" s="41"/>
    </row>
    <row r="310" spans="1:47" s="7" customFormat="1" ht="15.75" customHeight="1" x14ac:dyDescent="0.35">
      <c r="A310" s="12" t="s">
        <v>161</v>
      </c>
      <c r="B310" s="33">
        <v>64770.54</v>
      </c>
      <c r="C310" s="35">
        <f t="shared" si="4"/>
        <v>48532.93</v>
      </c>
      <c r="D310" s="35"/>
      <c r="E310" s="35"/>
      <c r="F310" s="35"/>
      <c r="G310" s="35"/>
      <c r="H310" s="35"/>
      <c r="I310" s="35"/>
      <c r="J310" s="35">
        <v>21</v>
      </c>
      <c r="K310" s="35">
        <v>1577.05</v>
      </c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  <c r="AA310" s="35"/>
      <c r="AB310" s="35"/>
      <c r="AC310" s="35"/>
      <c r="AD310" s="35">
        <v>2</v>
      </c>
      <c r="AE310" s="35">
        <v>1723</v>
      </c>
      <c r="AF310" s="35"/>
      <c r="AG310" s="35"/>
      <c r="AH310" s="35"/>
      <c r="AI310" s="35"/>
      <c r="AJ310" s="35"/>
      <c r="AK310" s="35"/>
      <c r="AL310" s="35"/>
      <c r="AM310" s="35"/>
      <c r="AN310" s="36"/>
      <c r="AO310" s="36"/>
      <c r="AP310" s="36"/>
      <c r="AQ310" s="35"/>
      <c r="AR310" s="35">
        <v>8.2899999999999991</v>
      </c>
      <c r="AS310" s="35">
        <v>45232.88</v>
      </c>
      <c r="AT310" s="35"/>
      <c r="AU310" s="35"/>
    </row>
    <row r="311" spans="1:47" s="7" customFormat="1" ht="15.75" customHeight="1" x14ac:dyDescent="0.35">
      <c r="A311" s="12" t="s">
        <v>162</v>
      </c>
      <c r="B311" s="33">
        <v>162377.76</v>
      </c>
      <c r="C311" s="35">
        <f t="shared" si="4"/>
        <v>80328.69</v>
      </c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>
        <v>1</v>
      </c>
      <c r="Q311" s="35">
        <v>636.5</v>
      </c>
      <c r="R311" s="35">
        <v>5</v>
      </c>
      <c r="S311" s="35">
        <f>376.48+376.48</f>
        <v>752.96</v>
      </c>
      <c r="T311" s="35"/>
      <c r="U311" s="35"/>
      <c r="V311" s="35"/>
      <c r="W311" s="35"/>
      <c r="X311" s="35"/>
      <c r="Y311" s="35"/>
      <c r="Z311" s="35"/>
      <c r="AA311" s="35"/>
      <c r="AB311" s="35"/>
      <c r="AC311" s="35"/>
      <c r="AD311" s="35"/>
      <c r="AE311" s="35"/>
      <c r="AF311" s="35"/>
      <c r="AG311" s="35"/>
      <c r="AH311" s="35"/>
      <c r="AI311" s="35"/>
      <c r="AJ311" s="35"/>
      <c r="AK311" s="35"/>
      <c r="AL311" s="35"/>
      <c r="AM311" s="35"/>
      <c r="AN311" s="36"/>
      <c r="AO311" s="36"/>
      <c r="AP311" s="36"/>
      <c r="AQ311" s="35"/>
      <c r="AR311" s="35">
        <v>14.47</v>
      </c>
      <c r="AS311" s="35">
        <v>78939.23</v>
      </c>
      <c r="AT311" s="35"/>
      <c r="AU311" s="35"/>
    </row>
    <row r="312" spans="1:47" s="7" customFormat="1" ht="15.75" customHeight="1" x14ac:dyDescent="0.35">
      <c r="A312" s="13" t="s">
        <v>163</v>
      </c>
      <c r="B312" s="33">
        <v>29145.25</v>
      </c>
      <c r="C312" s="35">
        <f t="shared" si="4"/>
        <v>422101.71299999999</v>
      </c>
      <c r="D312" s="35">
        <v>210</v>
      </c>
      <c r="E312" s="35">
        <v>154309</v>
      </c>
      <c r="F312" s="35"/>
      <c r="G312" s="35"/>
      <c r="H312" s="35"/>
      <c r="I312" s="35"/>
      <c r="J312" s="35">
        <v>13</v>
      </c>
      <c r="K312" s="35">
        <v>8166</v>
      </c>
      <c r="L312" s="35"/>
      <c r="M312" s="35"/>
      <c r="N312" s="35"/>
      <c r="O312" s="35"/>
      <c r="P312" s="35">
        <v>1</v>
      </c>
      <c r="Q312" s="35">
        <v>705.53</v>
      </c>
      <c r="R312" s="35">
        <v>5</v>
      </c>
      <c r="S312" s="35">
        <f>642.06+766.07+752.95+367</f>
        <v>2528.08</v>
      </c>
      <c r="T312" s="35"/>
      <c r="U312" s="35"/>
      <c r="V312" s="35"/>
      <c r="W312" s="35"/>
      <c r="X312" s="35">
        <v>3</v>
      </c>
      <c r="Y312" s="35">
        <v>10498.09</v>
      </c>
      <c r="Z312" s="35">
        <v>3.1</v>
      </c>
      <c r="AA312" s="35">
        <f>5873.403+5387</f>
        <v>11260.403</v>
      </c>
      <c r="AB312" s="35"/>
      <c r="AC312" s="35"/>
      <c r="AD312" s="35"/>
      <c r="AE312" s="35"/>
      <c r="AF312" s="35"/>
      <c r="AG312" s="35"/>
      <c r="AH312" s="35"/>
      <c r="AI312" s="35"/>
      <c r="AJ312" s="35"/>
      <c r="AK312" s="35"/>
      <c r="AL312" s="35"/>
      <c r="AM312" s="35"/>
      <c r="AN312" s="36"/>
      <c r="AO312" s="36"/>
      <c r="AP312" s="36"/>
      <c r="AQ312" s="35"/>
      <c r="AR312" s="35">
        <v>42.29</v>
      </c>
      <c r="AS312" s="35">
        <v>234634.61</v>
      </c>
      <c r="AT312" s="35"/>
      <c r="AU312" s="35"/>
    </row>
    <row r="313" spans="1:47" s="7" customFormat="1" ht="15.75" customHeight="1" x14ac:dyDescent="0.35">
      <c r="A313" s="12" t="s">
        <v>278</v>
      </c>
      <c r="B313" s="33">
        <v>603106.56000000006</v>
      </c>
      <c r="C313" s="35">
        <f t="shared" si="4"/>
        <v>569504.2084</v>
      </c>
      <c r="D313" s="35"/>
      <c r="E313" s="35"/>
      <c r="F313" s="35"/>
      <c r="G313" s="35"/>
      <c r="H313" s="35"/>
      <c r="I313" s="35"/>
      <c r="J313" s="35">
        <f>6+188</f>
        <v>194</v>
      </c>
      <c r="K313" s="35">
        <f>450.58+118096+527.46</f>
        <v>119074.04000000001</v>
      </c>
      <c r="L313" s="35"/>
      <c r="M313" s="35"/>
      <c r="N313" s="35"/>
      <c r="O313" s="35"/>
      <c r="P313" s="35">
        <v>33</v>
      </c>
      <c r="Q313" s="35">
        <f>813.327+6640.39+7693.16</f>
        <v>15146.877</v>
      </c>
      <c r="R313" s="35">
        <v>1</v>
      </c>
      <c r="S313" s="35">
        <v>219.24</v>
      </c>
      <c r="T313" s="35">
        <v>18</v>
      </c>
      <c r="U313" s="35">
        <f>1408.16+29034.96</f>
        <v>30443.119999999999</v>
      </c>
      <c r="V313" s="35"/>
      <c r="W313" s="35"/>
      <c r="X313" s="35">
        <v>45</v>
      </c>
      <c r="Y313" s="35">
        <v>4450.5234</v>
      </c>
      <c r="Z313" s="35"/>
      <c r="AA313" s="35"/>
      <c r="AB313" s="35"/>
      <c r="AC313" s="35"/>
      <c r="AD313" s="35">
        <v>68</v>
      </c>
      <c r="AE313" s="35">
        <f>2660.05+33589</f>
        <v>36249.050000000003</v>
      </c>
      <c r="AF313" s="35"/>
      <c r="AG313" s="35"/>
      <c r="AH313" s="35">
        <v>16</v>
      </c>
      <c r="AI313" s="35">
        <f>819.85+405.96</f>
        <v>1225.81</v>
      </c>
      <c r="AJ313" s="35">
        <f>46+15</f>
        <v>61</v>
      </c>
      <c r="AK313" s="35">
        <f>1721.3+32402.8</f>
        <v>34124.1</v>
      </c>
      <c r="AL313" s="35">
        <v>22</v>
      </c>
      <c r="AM313" s="35">
        <f>18445.4+548.36</f>
        <v>18993.760000000002</v>
      </c>
      <c r="AN313" s="36">
        <v>5</v>
      </c>
      <c r="AO313" s="36">
        <v>5640.2579999999998</v>
      </c>
      <c r="AP313" s="36"/>
      <c r="AQ313" s="35"/>
      <c r="AR313" s="35">
        <v>54.96</v>
      </c>
      <c r="AS313" s="35">
        <v>299951.59000000003</v>
      </c>
      <c r="AT313" s="35"/>
      <c r="AU313" s="35">
        <v>3985.84</v>
      </c>
    </row>
    <row r="314" spans="1:47" s="7" customFormat="1" ht="15.75" customHeight="1" x14ac:dyDescent="0.35">
      <c r="A314" s="12" t="s">
        <v>279</v>
      </c>
      <c r="B314" s="33">
        <v>306429.71999999997</v>
      </c>
      <c r="C314" s="35">
        <f t="shared" si="4"/>
        <v>268816.90999999997</v>
      </c>
      <c r="D314" s="35"/>
      <c r="E314" s="35"/>
      <c r="F314" s="35"/>
      <c r="G314" s="35"/>
      <c r="H314" s="35"/>
      <c r="I314" s="35"/>
      <c r="J314" s="35">
        <f>8.5+313</f>
        <v>321.5</v>
      </c>
      <c r="K314" s="35">
        <f>1137.86+196617.21</f>
        <v>197755.06999999998</v>
      </c>
      <c r="L314" s="35"/>
      <c r="M314" s="35"/>
      <c r="N314" s="35"/>
      <c r="O314" s="35"/>
      <c r="P314" s="35">
        <v>18</v>
      </c>
      <c r="Q314" s="35">
        <f>5313.4+1239.63+1575</f>
        <v>8128.03</v>
      </c>
      <c r="R314" s="35">
        <v>1</v>
      </c>
      <c r="S314" s="35">
        <v>302</v>
      </c>
      <c r="T314" s="35"/>
      <c r="U314" s="35"/>
      <c r="V314" s="35"/>
      <c r="W314" s="35"/>
      <c r="X314" s="35"/>
      <c r="Y314" s="35"/>
      <c r="Z314" s="35">
        <v>1.8</v>
      </c>
      <c r="AA314" s="35">
        <v>1250.26</v>
      </c>
      <c r="AB314" s="35"/>
      <c r="AC314" s="35"/>
      <c r="AD314" s="35">
        <f>12+66</f>
        <v>78</v>
      </c>
      <c r="AE314" s="35">
        <f>8515.58+47059</f>
        <v>55574.58</v>
      </c>
      <c r="AF314" s="35"/>
      <c r="AG314" s="35"/>
      <c r="AH314" s="35">
        <v>15</v>
      </c>
      <c r="AI314" s="35">
        <f>1229.8+3756.2+820.97</f>
        <v>5806.97</v>
      </c>
      <c r="AJ314" s="35"/>
      <c r="AK314" s="35"/>
      <c r="AL314" s="35"/>
      <c r="AM314" s="35"/>
      <c r="AN314" s="36"/>
      <c r="AO314" s="36"/>
      <c r="AP314" s="36"/>
      <c r="AQ314" s="35"/>
      <c r="AR314" s="35"/>
      <c r="AS314" s="35"/>
      <c r="AT314" s="35"/>
      <c r="AU314" s="35"/>
    </row>
    <row r="315" spans="1:47" s="7" customFormat="1" ht="15.75" customHeight="1" x14ac:dyDescent="0.35">
      <c r="A315" s="12" t="s">
        <v>280</v>
      </c>
      <c r="B315" s="33">
        <v>61891.83</v>
      </c>
      <c r="C315" s="35">
        <f t="shared" si="4"/>
        <v>91303.63</v>
      </c>
      <c r="D315" s="35"/>
      <c r="E315" s="35"/>
      <c r="F315" s="35"/>
      <c r="G315" s="35"/>
      <c r="H315" s="35"/>
      <c r="I315" s="35"/>
      <c r="J315" s="35">
        <v>14.75</v>
      </c>
      <c r="K315" s="35">
        <v>4727.71</v>
      </c>
      <c r="L315" s="35">
        <v>293</v>
      </c>
      <c r="M315" s="35">
        <v>62955</v>
      </c>
      <c r="N315" s="35"/>
      <c r="O315" s="35"/>
      <c r="P315" s="35">
        <v>11</v>
      </c>
      <c r="Q315" s="35">
        <f>1199.13+1836.72</f>
        <v>3035.8500000000004</v>
      </c>
      <c r="R315" s="35"/>
      <c r="S315" s="35"/>
      <c r="T315" s="35">
        <v>19</v>
      </c>
      <c r="U315" s="35">
        <v>16169</v>
      </c>
      <c r="V315" s="35"/>
      <c r="W315" s="35"/>
      <c r="X315" s="35">
        <v>2</v>
      </c>
      <c r="Y315" s="35">
        <v>626.44000000000005</v>
      </c>
      <c r="Z315" s="35"/>
      <c r="AA315" s="35"/>
      <c r="AB315" s="35"/>
      <c r="AC315" s="35"/>
      <c r="AD315" s="35">
        <v>18</v>
      </c>
      <c r="AE315" s="35">
        <v>1751.72</v>
      </c>
      <c r="AF315" s="35"/>
      <c r="AG315" s="35"/>
      <c r="AH315" s="35">
        <v>4</v>
      </c>
      <c r="AI315" s="35">
        <v>1509.9</v>
      </c>
      <c r="AJ315" s="35">
        <v>12</v>
      </c>
      <c r="AK315" s="35">
        <v>528.01</v>
      </c>
      <c r="AL315" s="35"/>
      <c r="AM315" s="35"/>
      <c r="AN315" s="36"/>
      <c r="AO315" s="36"/>
      <c r="AP315" s="36"/>
      <c r="AQ315" s="35"/>
      <c r="AR315" s="35"/>
      <c r="AS315" s="35"/>
      <c r="AT315" s="35"/>
      <c r="AU315" s="35"/>
    </row>
    <row r="316" spans="1:47" s="7" customFormat="1" ht="15.75" customHeight="1" x14ac:dyDescent="0.35">
      <c r="A316" s="12" t="s">
        <v>281</v>
      </c>
      <c r="B316" s="33">
        <v>24227.27</v>
      </c>
      <c r="C316" s="35">
        <f t="shared" si="4"/>
        <v>36043.839999999997</v>
      </c>
      <c r="D316" s="35"/>
      <c r="E316" s="35"/>
      <c r="F316" s="35"/>
      <c r="G316" s="35"/>
      <c r="H316" s="35"/>
      <c r="I316" s="35"/>
      <c r="J316" s="35">
        <v>6</v>
      </c>
      <c r="K316" s="35">
        <v>700.35</v>
      </c>
      <c r="L316" s="35"/>
      <c r="M316" s="35"/>
      <c r="N316" s="35"/>
      <c r="O316" s="35"/>
      <c r="P316" s="35">
        <v>4</v>
      </c>
      <c r="Q316" s="35">
        <v>2463.66</v>
      </c>
      <c r="R316" s="35"/>
      <c r="S316" s="35"/>
      <c r="T316" s="35">
        <v>4</v>
      </c>
      <c r="U316" s="35">
        <v>5373.35</v>
      </c>
      <c r="V316" s="35"/>
      <c r="W316" s="35"/>
      <c r="X316" s="35"/>
      <c r="Y316" s="35"/>
      <c r="Z316" s="35"/>
      <c r="AA316" s="35"/>
      <c r="AB316" s="35"/>
      <c r="AC316" s="35"/>
      <c r="AD316" s="35"/>
      <c r="AE316" s="35"/>
      <c r="AF316" s="35"/>
      <c r="AG316" s="35"/>
      <c r="AH316" s="35"/>
      <c r="AI316" s="35"/>
      <c r="AJ316" s="35"/>
      <c r="AK316" s="35"/>
      <c r="AL316" s="35"/>
      <c r="AM316" s="35"/>
      <c r="AN316" s="36"/>
      <c r="AO316" s="36"/>
      <c r="AP316" s="36"/>
      <c r="AQ316" s="35"/>
      <c r="AR316" s="35">
        <v>5.04</v>
      </c>
      <c r="AS316" s="35">
        <v>27506.48</v>
      </c>
      <c r="AT316" s="35"/>
      <c r="AU316" s="35"/>
    </row>
    <row r="317" spans="1:47" s="7" customFormat="1" ht="15.75" customHeight="1" x14ac:dyDescent="0.35">
      <c r="A317" s="12" t="s">
        <v>282</v>
      </c>
      <c r="B317" s="33">
        <v>98758.41</v>
      </c>
      <c r="C317" s="35">
        <f t="shared" si="4"/>
        <v>89806.689999999988</v>
      </c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>
        <v>24</v>
      </c>
      <c r="Q317" s="35">
        <v>14695.9</v>
      </c>
      <c r="R317" s="35"/>
      <c r="S317" s="35"/>
      <c r="T317" s="35"/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  <c r="AE317" s="35"/>
      <c r="AF317" s="35"/>
      <c r="AG317" s="35"/>
      <c r="AH317" s="35">
        <v>3</v>
      </c>
      <c r="AI317" s="35">
        <v>625</v>
      </c>
      <c r="AJ317" s="35"/>
      <c r="AK317" s="35"/>
      <c r="AL317" s="35"/>
      <c r="AM317" s="35"/>
      <c r="AN317" s="36"/>
      <c r="AO317" s="36"/>
      <c r="AP317" s="36"/>
      <c r="AQ317" s="35"/>
      <c r="AR317" s="35">
        <v>13.65</v>
      </c>
      <c r="AS317" s="35">
        <v>74485.789999999994</v>
      </c>
      <c r="AT317" s="35"/>
      <c r="AU317" s="35"/>
    </row>
    <row r="318" spans="1:47" s="7" customFormat="1" ht="15.75" customHeight="1" x14ac:dyDescent="0.35">
      <c r="A318" s="12" t="s">
        <v>283</v>
      </c>
      <c r="B318" s="33">
        <v>76917.98</v>
      </c>
      <c r="C318" s="35">
        <f t="shared" si="4"/>
        <v>169545.53</v>
      </c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  <c r="AA318" s="35"/>
      <c r="AB318" s="35"/>
      <c r="AC318" s="35"/>
      <c r="AD318" s="35">
        <v>6</v>
      </c>
      <c r="AE318" s="35">
        <v>3078.88</v>
      </c>
      <c r="AF318" s="35"/>
      <c r="AG318" s="35"/>
      <c r="AH318" s="35"/>
      <c r="AI318" s="35"/>
      <c r="AJ318" s="35">
        <v>30</v>
      </c>
      <c r="AK318" s="35">
        <v>10796.7</v>
      </c>
      <c r="AL318" s="35">
        <v>21</v>
      </c>
      <c r="AM318" s="35">
        <v>13483.4</v>
      </c>
      <c r="AN318" s="36">
        <v>4</v>
      </c>
      <c r="AO318" s="36">
        <v>7724.8</v>
      </c>
      <c r="AP318" s="36"/>
      <c r="AQ318" s="35">
        <f>36614.42+50344.09</f>
        <v>86958.51</v>
      </c>
      <c r="AR318" s="35">
        <v>8.7100000000000009</v>
      </c>
      <c r="AS318" s="35">
        <v>47503.24</v>
      </c>
      <c r="AT318" s="35"/>
      <c r="AU318" s="35"/>
    </row>
    <row r="319" spans="1:47" s="7" customFormat="1" ht="15.75" customHeight="1" x14ac:dyDescent="0.35">
      <c r="A319" s="12" t="s">
        <v>284</v>
      </c>
      <c r="B319" s="33">
        <v>26302.23</v>
      </c>
      <c r="C319" s="35">
        <f t="shared" si="4"/>
        <v>19462.47</v>
      </c>
      <c r="D319" s="35"/>
      <c r="E319" s="35"/>
      <c r="F319" s="35"/>
      <c r="G319" s="35"/>
      <c r="H319" s="35"/>
      <c r="I319" s="35"/>
      <c r="J319" s="35">
        <v>4.5</v>
      </c>
      <c r="K319" s="35">
        <v>587.70000000000005</v>
      </c>
      <c r="L319" s="35"/>
      <c r="M319" s="35"/>
      <c r="N319" s="35"/>
      <c r="O319" s="35"/>
      <c r="P319" s="35">
        <v>25</v>
      </c>
      <c r="Q319" s="35">
        <f>12246.6+4335.54</f>
        <v>16582.14</v>
      </c>
      <c r="R319" s="35"/>
      <c r="S319" s="35"/>
      <c r="T319" s="35">
        <v>3</v>
      </c>
      <c r="U319" s="35">
        <v>1795</v>
      </c>
      <c r="V319" s="35"/>
      <c r="W319" s="35"/>
      <c r="X319" s="35"/>
      <c r="Y319" s="35"/>
      <c r="Z319" s="35"/>
      <c r="AA319" s="35"/>
      <c r="AB319" s="35"/>
      <c r="AC319" s="35"/>
      <c r="AD319" s="35"/>
      <c r="AE319" s="35"/>
      <c r="AF319" s="35"/>
      <c r="AG319" s="35"/>
      <c r="AH319" s="35"/>
      <c r="AI319" s="35"/>
      <c r="AJ319" s="35"/>
      <c r="AK319" s="35"/>
      <c r="AL319" s="35">
        <v>1</v>
      </c>
      <c r="AM319" s="35">
        <v>497.63</v>
      </c>
      <c r="AN319" s="36"/>
      <c r="AO319" s="36"/>
      <c r="AP319" s="36"/>
      <c r="AQ319" s="35"/>
      <c r="AR319" s="35"/>
      <c r="AS319" s="35"/>
      <c r="AT319" s="35"/>
      <c r="AU319" s="35"/>
    </row>
    <row r="320" spans="1:47" s="7" customFormat="1" ht="15.75" customHeight="1" x14ac:dyDescent="0.35">
      <c r="A320" s="12" t="s">
        <v>186</v>
      </c>
      <c r="B320" s="33">
        <v>47816.17</v>
      </c>
      <c r="C320" s="35">
        <f t="shared" si="4"/>
        <v>41694.54</v>
      </c>
      <c r="D320" s="35"/>
      <c r="E320" s="35"/>
      <c r="F320" s="35"/>
      <c r="G320" s="35"/>
      <c r="H320" s="35"/>
      <c r="I320" s="35"/>
      <c r="J320" s="35">
        <v>6</v>
      </c>
      <c r="K320" s="35">
        <v>700.35</v>
      </c>
      <c r="L320" s="35"/>
      <c r="M320" s="35"/>
      <c r="N320" s="35"/>
      <c r="O320" s="35"/>
      <c r="P320" s="35">
        <v>2</v>
      </c>
      <c r="Q320" s="35">
        <v>2038</v>
      </c>
      <c r="R320" s="35"/>
      <c r="S320" s="35"/>
      <c r="T320" s="35"/>
      <c r="U320" s="35"/>
      <c r="V320" s="35"/>
      <c r="W320" s="35"/>
      <c r="X320" s="35"/>
      <c r="Y320" s="35"/>
      <c r="Z320" s="35"/>
      <c r="AA320" s="35"/>
      <c r="AB320" s="35"/>
      <c r="AC320" s="35"/>
      <c r="AD320" s="35">
        <v>3</v>
      </c>
      <c r="AE320" s="35">
        <v>423</v>
      </c>
      <c r="AF320" s="35">
        <v>1</v>
      </c>
      <c r="AG320" s="35">
        <v>4354</v>
      </c>
      <c r="AH320" s="35">
        <v>1</v>
      </c>
      <c r="AI320" s="35">
        <v>2879.1</v>
      </c>
      <c r="AJ320" s="35"/>
      <c r="AK320" s="35"/>
      <c r="AL320" s="35"/>
      <c r="AM320" s="35"/>
      <c r="AN320" s="36"/>
      <c r="AO320" s="36"/>
      <c r="AP320" s="36"/>
      <c r="AQ320" s="35"/>
      <c r="AR320" s="35">
        <v>5.57</v>
      </c>
      <c r="AS320" s="35">
        <v>30388.09</v>
      </c>
      <c r="AT320" s="35"/>
      <c r="AU320" s="35">
        <v>912</v>
      </c>
    </row>
    <row r="321" spans="1:47" s="7" customFormat="1" ht="15.75" customHeight="1" x14ac:dyDescent="0.35">
      <c r="A321" s="12" t="s">
        <v>187</v>
      </c>
      <c r="B321" s="33">
        <v>119132.43</v>
      </c>
      <c r="C321" s="35">
        <f t="shared" si="4"/>
        <v>83561.94</v>
      </c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>
        <v>1</v>
      </c>
      <c r="Q321" s="35">
        <v>378.78</v>
      </c>
      <c r="R321" s="35"/>
      <c r="S321" s="35"/>
      <c r="T321" s="35">
        <v>8</v>
      </c>
      <c r="U321" s="35">
        <v>11200.6</v>
      </c>
      <c r="V321" s="35"/>
      <c r="W321" s="35"/>
      <c r="X321" s="35"/>
      <c r="Y321" s="35"/>
      <c r="Z321" s="35"/>
      <c r="AA321" s="35"/>
      <c r="AB321" s="35"/>
      <c r="AC321" s="35"/>
      <c r="AD321" s="35">
        <v>15</v>
      </c>
      <c r="AE321" s="35">
        <f>9028.18+4143.26</f>
        <v>13171.44</v>
      </c>
      <c r="AF321" s="35"/>
      <c r="AG321" s="35"/>
      <c r="AH321" s="35">
        <v>1</v>
      </c>
      <c r="AI321" s="35">
        <f>1037.22+345.74</f>
        <v>1382.96</v>
      </c>
      <c r="AJ321" s="35"/>
      <c r="AK321" s="35"/>
      <c r="AL321" s="35">
        <v>2</v>
      </c>
      <c r="AM321" s="35">
        <v>1018.06</v>
      </c>
      <c r="AN321" s="36"/>
      <c r="AO321" s="36"/>
      <c r="AP321" s="36"/>
      <c r="AQ321" s="35"/>
      <c r="AR321" s="35">
        <v>10.34</v>
      </c>
      <c r="AS321" s="35">
        <v>56410.1</v>
      </c>
      <c r="AT321" s="35"/>
      <c r="AU321" s="35"/>
    </row>
    <row r="322" spans="1:47" s="7" customFormat="1" ht="15.75" customHeight="1" x14ac:dyDescent="0.35">
      <c r="A322" s="12" t="s">
        <v>188</v>
      </c>
      <c r="B322" s="33">
        <v>79292.06</v>
      </c>
      <c r="C322" s="35">
        <f t="shared" si="4"/>
        <v>59293.49</v>
      </c>
      <c r="D322" s="35"/>
      <c r="E322" s="35"/>
      <c r="F322" s="35"/>
      <c r="G322" s="35"/>
      <c r="H322" s="35"/>
      <c r="I322" s="35"/>
      <c r="J322" s="35">
        <v>6</v>
      </c>
      <c r="K322" s="35">
        <v>700.35</v>
      </c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  <c r="AA322" s="35"/>
      <c r="AB322" s="35"/>
      <c r="AC322" s="35"/>
      <c r="AD322" s="35"/>
      <c r="AE322" s="35"/>
      <c r="AF322" s="35"/>
      <c r="AG322" s="35"/>
      <c r="AH322" s="35"/>
      <c r="AI322" s="35"/>
      <c r="AJ322" s="35"/>
      <c r="AK322" s="35"/>
      <c r="AL322" s="35"/>
      <c r="AM322" s="35"/>
      <c r="AN322" s="36"/>
      <c r="AO322" s="36"/>
      <c r="AP322" s="36"/>
      <c r="AQ322" s="35"/>
      <c r="AR322" s="35">
        <v>10.74</v>
      </c>
      <c r="AS322" s="35">
        <v>58593.14</v>
      </c>
      <c r="AT322" s="35"/>
      <c r="AU322" s="35"/>
    </row>
    <row r="323" spans="1:47" s="7" customFormat="1" ht="15.75" customHeight="1" x14ac:dyDescent="0.35">
      <c r="A323" s="12" t="s">
        <v>189</v>
      </c>
      <c r="B323" s="33">
        <v>81615.83</v>
      </c>
      <c r="C323" s="35">
        <f t="shared" si="4"/>
        <v>183249.09</v>
      </c>
      <c r="D323" s="35"/>
      <c r="E323" s="35"/>
      <c r="F323" s="35"/>
      <c r="G323" s="35"/>
      <c r="H323" s="35"/>
      <c r="I323" s="35"/>
      <c r="J323" s="35">
        <v>10</v>
      </c>
      <c r="K323" s="35">
        <f>625.25+527</f>
        <v>1152.25</v>
      </c>
      <c r="L323" s="35">
        <v>236</v>
      </c>
      <c r="M323" s="35">
        <v>117625</v>
      </c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>
        <v>1.5</v>
      </c>
      <c r="Y323" s="35">
        <v>912.45</v>
      </c>
      <c r="Z323" s="35"/>
      <c r="AA323" s="35"/>
      <c r="AB323" s="35"/>
      <c r="AC323" s="35"/>
      <c r="AD323" s="35">
        <f>8+3</f>
        <v>11</v>
      </c>
      <c r="AE323" s="35">
        <f>13563.83+2405</f>
        <v>15968.83</v>
      </c>
      <c r="AF323" s="35"/>
      <c r="AG323" s="35"/>
      <c r="AH323" s="35"/>
      <c r="AI323" s="35"/>
      <c r="AJ323" s="35"/>
      <c r="AK323" s="35"/>
      <c r="AL323" s="35"/>
      <c r="AM323" s="35"/>
      <c r="AN323" s="36"/>
      <c r="AO323" s="36"/>
      <c r="AP323" s="36"/>
      <c r="AQ323" s="35"/>
      <c r="AR323" s="35">
        <v>8.6999999999999993</v>
      </c>
      <c r="AS323" s="35">
        <v>47590.559999999998</v>
      </c>
      <c r="AT323" s="35"/>
      <c r="AU323" s="35"/>
    </row>
    <row r="324" spans="1:47" s="7" customFormat="1" ht="15.75" customHeight="1" x14ac:dyDescent="0.35">
      <c r="A324" s="12" t="s">
        <v>190</v>
      </c>
      <c r="B324" s="33">
        <v>75866.63</v>
      </c>
      <c r="C324" s="35">
        <f t="shared" si="4"/>
        <v>5930.77</v>
      </c>
      <c r="D324" s="35"/>
      <c r="E324" s="35"/>
      <c r="F324" s="35"/>
      <c r="G324" s="35"/>
      <c r="H324" s="35"/>
      <c r="I324" s="35"/>
      <c r="J324" s="35">
        <v>11</v>
      </c>
      <c r="K324" s="35">
        <v>1075.83</v>
      </c>
      <c r="L324" s="35"/>
      <c r="M324" s="35"/>
      <c r="N324" s="35"/>
      <c r="O324" s="35"/>
      <c r="P324" s="35">
        <v>9</v>
      </c>
      <c r="Q324" s="35">
        <f>2080.94+2774</f>
        <v>4854.9400000000005</v>
      </c>
      <c r="R324" s="35"/>
      <c r="S324" s="35"/>
      <c r="T324" s="35"/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  <c r="AE324" s="35"/>
      <c r="AF324" s="35"/>
      <c r="AG324" s="35"/>
      <c r="AH324" s="35"/>
      <c r="AI324" s="35"/>
      <c r="AJ324" s="35"/>
      <c r="AK324" s="35"/>
      <c r="AL324" s="35"/>
      <c r="AM324" s="35"/>
      <c r="AN324" s="36"/>
      <c r="AO324" s="36"/>
      <c r="AP324" s="36"/>
      <c r="AQ324" s="35"/>
      <c r="AR324" s="35"/>
      <c r="AS324" s="35"/>
      <c r="AT324" s="35"/>
      <c r="AU324" s="35"/>
    </row>
    <row r="325" spans="1:47" s="7" customFormat="1" ht="15.75" customHeight="1" x14ac:dyDescent="0.35">
      <c r="A325" s="12" t="s">
        <v>191</v>
      </c>
      <c r="B325" s="33">
        <v>51662.400000000001</v>
      </c>
      <c r="C325" s="35">
        <f t="shared" si="4"/>
        <v>55189.42</v>
      </c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>
        <v>8</v>
      </c>
      <c r="Q325" s="35">
        <v>3851</v>
      </c>
      <c r="R325" s="35">
        <v>1</v>
      </c>
      <c r="S325" s="35">
        <v>1146</v>
      </c>
      <c r="T325" s="35"/>
      <c r="U325" s="35"/>
      <c r="V325" s="35"/>
      <c r="W325" s="35"/>
      <c r="X325" s="35">
        <v>5</v>
      </c>
      <c r="Y325" s="35">
        <v>1588.14</v>
      </c>
      <c r="Z325" s="35"/>
      <c r="AA325" s="35"/>
      <c r="AB325" s="35"/>
      <c r="AC325" s="35"/>
      <c r="AD325" s="35"/>
      <c r="AE325" s="35"/>
      <c r="AF325" s="35"/>
      <c r="AG325" s="35"/>
      <c r="AH325" s="35"/>
      <c r="AI325" s="35"/>
      <c r="AJ325" s="35">
        <v>25</v>
      </c>
      <c r="AK325" s="35">
        <v>2066.35</v>
      </c>
      <c r="AL325" s="35">
        <v>5</v>
      </c>
      <c r="AM325" s="35">
        <v>6457.04</v>
      </c>
      <c r="AN325" s="36"/>
      <c r="AO325" s="36"/>
      <c r="AP325" s="36"/>
      <c r="AQ325" s="35"/>
      <c r="AR325" s="35">
        <v>7.35</v>
      </c>
      <c r="AS325" s="35">
        <v>40080.89</v>
      </c>
      <c r="AT325" s="35"/>
      <c r="AU325" s="35"/>
    </row>
    <row r="326" spans="1:47" s="7" customFormat="1" ht="15.75" customHeight="1" x14ac:dyDescent="0.35">
      <c r="A326" s="12" t="s">
        <v>192</v>
      </c>
      <c r="B326" s="33">
        <v>88256.38</v>
      </c>
      <c r="C326" s="35">
        <f t="shared" si="4"/>
        <v>0</v>
      </c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  <c r="AA326" s="35"/>
      <c r="AB326" s="35"/>
      <c r="AC326" s="35"/>
      <c r="AD326" s="35"/>
      <c r="AE326" s="35"/>
      <c r="AF326" s="35"/>
      <c r="AG326" s="35"/>
      <c r="AH326" s="35"/>
      <c r="AI326" s="35"/>
      <c r="AJ326" s="35"/>
      <c r="AK326" s="35"/>
      <c r="AL326" s="35"/>
      <c r="AM326" s="35"/>
      <c r="AN326" s="36"/>
      <c r="AO326" s="36"/>
      <c r="AP326" s="36"/>
      <c r="AQ326" s="35"/>
      <c r="AR326" s="35"/>
      <c r="AS326" s="35"/>
      <c r="AT326" s="35"/>
      <c r="AU326" s="35"/>
    </row>
    <row r="327" spans="1:47" s="7" customFormat="1" ht="15.75" customHeight="1" x14ac:dyDescent="0.35">
      <c r="A327" s="12" t="s">
        <v>193</v>
      </c>
      <c r="B327" s="33">
        <v>96977.91</v>
      </c>
      <c r="C327" s="35">
        <f t="shared" si="4"/>
        <v>63626.49</v>
      </c>
      <c r="D327" s="35"/>
      <c r="E327" s="35"/>
      <c r="F327" s="35"/>
      <c r="G327" s="35"/>
      <c r="H327" s="35"/>
      <c r="I327" s="35"/>
      <c r="J327" s="35">
        <v>15.5</v>
      </c>
      <c r="K327" s="35">
        <v>1413.77</v>
      </c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  <c r="AA327" s="35"/>
      <c r="AB327" s="35"/>
      <c r="AC327" s="35"/>
      <c r="AD327" s="35"/>
      <c r="AE327" s="35"/>
      <c r="AF327" s="35"/>
      <c r="AG327" s="35"/>
      <c r="AH327" s="35"/>
      <c r="AI327" s="35"/>
      <c r="AJ327" s="35"/>
      <c r="AK327" s="35"/>
      <c r="AL327" s="35">
        <v>2</v>
      </c>
      <c r="AM327" s="35">
        <v>214</v>
      </c>
      <c r="AN327" s="36"/>
      <c r="AO327" s="36"/>
      <c r="AP327" s="36"/>
      <c r="AQ327" s="35"/>
      <c r="AR327" s="35">
        <v>11.36</v>
      </c>
      <c r="AS327" s="35">
        <v>61998.720000000001</v>
      </c>
      <c r="AT327" s="35"/>
      <c r="AU327" s="35"/>
    </row>
    <row r="328" spans="1:47" s="7" customFormat="1" ht="15.75" customHeight="1" x14ac:dyDescent="0.35">
      <c r="A328" s="12" t="s">
        <v>194</v>
      </c>
      <c r="B328" s="33">
        <v>49218.42</v>
      </c>
      <c r="C328" s="35">
        <f t="shared" si="4"/>
        <v>0</v>
      </c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  <c r="AA328" s="35"/>
      <c r="AB328" s="35"/>
      <c r="AC328" s="35"/>
      <c r="AD328" s="35"/>
      <c r="AE328" s="35"/>
      <c r="AF328" s="35"/>
      <c r="AG328" s="35"/>
      <c r="AH328" s="35"/>
      <c r="AI328" s="35"/>
      <c r="AJ328" s="35"/>
      <c r="AK328" s="35"/>
      <c r="AL328" s="35"/>
      <c r="AM328" s="35"/>
      <c r="AN328" s="36"/>
      <c r="AO328" s="36"/>
      <c r="AP328" s="36"/>
      <c r="AQ328" s="35"/>
      <c r="AR328" s="35"/>
      <c r="AS328" s="35"/>
      <c r="AT328" s="35"/>
      <c r="AU328" s="35"/>
    </row>
    <row r="329" spans="1:47" s="7" customFormat="1" ht="15.75" customHeight="1" x14ac:dyDescent="0.35">
      <c r="A329" s="12" t="s">
        <v>195</v>
      </c>
      <c r="B329" s="33">
        <v>20181.52</v>
      </c>
      <c r="C329" s="35">
        <f t="shared" si="4"/>
        <v>146420.69</v>
      </c>
      <c r="D329" s="35"/>
      <c r="E329" s="35"/>
      <c r="F329" s="35"/>
      <c r="G329" s="35"/>
      <c r="H329" s="35"/>
      <c r="I329" s="35"/>
      <c r="J329" s="35"/>
      <c r="K329" s="35"/>
      <c r="L329" s="35">
        <v>247</v>
      </c>
      <c r="M329" s="35">
        <v>121406</v>
      </c>
      <c r="N329" s="35"/>
      <c r="O329" s="35"/>
      <c r="P329" s="35">
        <v>5</v>
      </c>
      <c r="Q329" s="35">
        <v>2185</v>
      </c>
      <c r="R329" s="35"/>
      <c r="S329" s="35"/>
      <c r="T329" s="35"/>
      <c r="U329" s="35"/>
      <c r="V329" s="35"/>
      <c r="W329" s="35"/>
      <c r="X329" s="35"/>
      <c r="Y329" s="35"/>
      <c r="Z329" s="35">
        <v>1.7</v>
      </c>
      <c r="AA329" s="35">
        <v>4754</v>
      </c>
      <c r="AB329" s="35"/>
      <c r="AC329" s="35"/>
      <c r="AD329" s="35"/>
      <c r="AE329" s="35"/>
      <c r="AF329" s="35"/>
      <c r="AG329" s="35"/>
      <c r="AH329" s="35"/>
      <c r="AI329" s="35"/>
      <c r="AJ329" s="35"/>
      <c r="AK329" s="35"/>
      <c r="AL329" s="35"/>
      <c r="AM329" s="35"/>
      <c r="AN329" s="36"/>
      <c r="AO329" s="36"/>
      <c r="AP329" s="36"/>
      <c r="AQ329" s="35"/>
      <c r="AR329" s="35">
        <v>3.32</v>
      </c>
      <c r="AS329" s="35">
        <v>18075.689999999999</v>
      </c>
      <c r="AT329" s="35"/>
      <c r="AU329" s="35"/>
    </row>
    <row r="330" spans="1:47" s="7" customFormat="1" ht="15.75" customHeight="1" x14ac:dyDescent="0.35">
      <c r="A330" s="12" t="s">
        <v>196</v>
      </c>
      <c r="B330" s="33">
        <v>76874.539999999994</v>
      </c>
      <c r="C330" s="35">
        <f t="shared" si="4"/>
        <v>45449.183999999994</v>
      </c>
      <c r="D330" s="35"/>
      <c r="E330" s="35"/>
      <c r="F330" s="35"/>
      <c r="G330" s="35"/>
      <c r="H330" s="35"/>
      <c r="I330" s="35"/>
      <c r="J330" s="35">
        <v>35</v>
      </c>
      <c r="K330" s="35">
        <f>2052.1+1818.49</f>
        <v>3870.59</v>
      </c>
      <c r="L330" s="35"/>
      <c r="M330" s="35"/>
      <c r="N330" s="35"/>
      <c r="O330" s="35"/>
      <c r="P330" s="35">
        <v>3</v>
      </c>
      <c r="Q330" s="35">
        <v>1608.34</v>
      </c>
      <c r="R330" s="35">
        <v>2</v>
      </c>
      <c r="S330" s="35">
        <v>1529</v>
      </c>
      <c r="T330" s="35"/>
      <c r="U330" s="35"/>
      <c r="V330" s="35"/>
      <c r="W330" s="35"/>
      <c r="X330" s="35"/>
      <c r="Y330" s="35"/>
      <c r="Z330" s="35">
        <v>1.7</v>
      </c>
      <c r="AA330" s="35">
        <v>4579.0140000000001</v>
      </c>
      <c r="AB330" s="35"/>
      <c r="AC330" s="35"/>
      <c r="AD330" s="35"/>
      <c r="AE330" s="35"/>
      <c r="AF330" s="35"/>
      <c r="AG330" s="35"/>
      <c r="AH330" s="35"/>
      <c r="AI330" s="35"/>
      <c r="AJ330" s="35"/>
      <c r="AK330" s="35"/>
      <c r="AL330" s="35">
        <v>1</v>
      </c>
      <c r="AM330" s="35">
        <v>96</v>
      </c>
      <c r="AN330" s="36"/>
      <c r="AO330" s="36"/>
      <c r="AP330" s="36"/>
      <c r="AQ330" s="35">
        <v>33766.239999999998</v>
      </c>
      <c r="AR330" s="35"/>
      <c r="AS330" s="35"/>
      <c r="AT330" s="35"/>
      <c r="AU330" s="35"/>
    </row>
    <row r="331" spans="1:47" s="7" customFormat="1" ht="15.75" customHeight="1" x14ac:dyDescent="0.35">
      <c r="A331" s="12" t="s">
        <v>197</v>
      </c>
      <c r="B331" s="33">
        <v>84029.66</v>
      </c>
      <c r="C331" s="35">
        <f t="shared" si="4"/>
        <v>64658.59</v>
      </c>
      <c r="D331" s="35"/>
      <c r="E331" s="35"/>
      <c r="F331" s="35"/>
      <c r="G331" s="35"/>
      <c r="H331" s="35"/>
      <c r="I331" s="35"/>
      <c r="J331" s="35">
        <v>7.5</v>
      </c>
      <c r="K331" s="35">
        <v>563.23</v>
      </c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  <c r="AA331" s="35"/>
      <c r="AB331" s="35"/>
      <c r="AC331" s="35"/>
      <c r="AD331" s="35">
        <v>10</v>
      </c>
      <c r="AE331" s="35">
        <v>8492.32</v>
      </c>
      <c r="AF331" s="35"/>
      <c r="AG331" s="35"/>
      <c r="AH331" s="35"/>
      <c r="AI331" s="35"/>
      <c r="AJ331" s="35">
        <v>30</v>
      </c>
      <c r="AK331" s="35">
        <v>6528</v>
      </c>
      <c r="AL331" s="35"/>
      <c r="AM331" s="35"/>
      <c r="AN331" s="36"/>
      <c r="AO331" s="36"/>
      <c r="AP331" s="36"/>
      <c r="AQ331" s="35"/>
      <c r="AR331" s="35">
        <v>9</v>
      </c>
      <c r="AS331" s="35">
        <v>49075.040000000001</v>
      </c>
      <c r="AT331" s="35"/>
      <c r="AU331" s="35"/>
    </row>
    <row r="332" spans="1:47" s="7" customFormat="1" ht="15.75" customHeight="1" x14ac:dyDescent="0.35">
      <c r="A332" s="12" t="s">
        <v>198</v>
      </c>
      <c r="B332" s="33">
        <v>20661.490000000002</v>
      </c>
      <c r="C332" s="35">
        <f t="shared" si="4"/>
        <v>29759.635000000002</v>
      </c>
      <c r="D332" s="35"/>
      <c r="E332" s="35"/>
      <c r="F332" s="35"/>
      <c r="G332" s="35"/>
      <c r="H332" s="35"/>
      <c r="I332" s="35"/>
      <c r="J332" s="35">
        <v>14</v>
      </c>
      <c r="K332" s="35">
        <v>1301.1300000000001</v>
      </c>
      <c r="L332" s="35"/>
      <c r="M332" s="35"/>
      <c r="N332" s="35"/>
      <c r="O332" s="35"/>
      <c r="P332" s="35">
        <v>8</v>
      </c>
      <c r="Q332" s="35">
        <v>3576.52</v>
      </c>
      <c r="R332" s="35">
        <v>1</v>
      </c>
      <c r="S332" s="35">
        <v>5633.98</v>
      </c>
      <c r="T332" s="35"/>
      <c r="U332" s="35"/>
      <c r="V332" s="35"/>
      <c r="W332" s="35"/>
      <c r="X332" s="35"/>
      <c r="Y332" s="35"/>
      <c r="Z332" s="35"/>
      <c r="AA332" s="35"/>
      <c r="AB332" s="35"/>
      <c r="AC332" s="35"/>
      <c r="AD332" s="35"/>
      <c r="AE332" s="35"/>
      <c r="AF332" s="35"/>
      <c r="AG332" s="35"/>
      <c r="AH332" s="35"/>
      <c r="AI332" s="35"/>
      <c r="AJ332" s="35">
        <v>38</v>
      </c>
      <c r="AK332" s="35">
        <v>18679.2</v>
      </c>
      <c r="AL332" s="35">
        <v>9</v>
      </c>
      <c r="AM332" s="35">
        <f>461.805+107</f>
        <v>568.80500000000006</v>
      </c>
      <c r="AN332" s="36"/>
      <c r="AO332" s="36"/>
      <c r="AP332" s="36"/>
      <c r="AQ332" s="35"/>
      <c r="AR332" s="35"/>
      <c r="AS332" s="35"/>
      <c r="AT332" s="35"/>
      <c r="AU332" s="35"/>
    </row>
    <row r="333" spans="1:47" s="7" customFormat="1" ht="15.75" customHeight="1" x14ac:dyDescent="0.35">
      <c r="A333" s="12" t="s">
        <v>199</v>
      </c>
      <c r="B333" s="33">
        <v>25852.69</v>
      </c>
      <c r="C333" s="35">
        <f t="shared" ref="C333:C383" si="5">E333+G333+K333+M333+O333+Q333+S333+U333+Y333+AA333+AC333+AE333+AG333+AI333+AK333+AM333+AO333+AQ333+AS333+AU333+I333</f>
        <v>14412.32</v>
      </c>
      <c r="D333" s="35"/>
      <c r="E333" s="35"/>
      <c r="F333" s="35"/>
      <c r="G333" s="35"/>
      <c r="H333" s="35"/>
      <c r="I333" s="35"/>
      <c r="J333" s="35">
        <v>7.5</v>
      </c>
      <c r="K333" s="35">
        <v>7170.34</v>
      </c>
      <c r="L333" s="35"/>
      <c r="M333" s="35"/>
      <c r="N333" s="35"/>
      <c r="O333" s="35"/>
      <c r="P333" s="35"/>
      <c r="Q333" s="35"/>
      <c r="R333" s="35">
        <v>2</v>
      </c>
      <c r="S333" s="35">
        <f>5633.98+302</f>
        <v>5935.98</v>
      </c>
      <c r="T333" s="35"/>
      <c r="U333" s="35"/>
      <c r="V333" s="35"/>
      <c r="W333" s="35"/>
      <c r="X333" s="35"/>
      <c r="Y333" s="35"/>
      <c r="Z333" s="35"/>
      <c r="AA333" s="35"/>
      <c r="AB333" s="35"/>
      <c r="AC333" s="35"/>
      <c r="AD333" s="35">
        <v>2</v>
      </c>
      <c r="AE333" s="35">
        <v>960</v>
      </c>
      <c r="AF333" s="35"/>
      <c r="AG333" s="35"/>
      <c r="AH333" s="35">
        <v>1</v>
      </c>
      <c r="AI333" s="35">
        <v>346</v>
      </c>
      <c r="AJ333" s="35"/>
      <c r="AK333" s="35"/>
      <c r="AL333" s="35"/>
      <c r="AM333" s="35"/>
      <c r="AN333" s="36"/>
      <c r="AO333" s="36"/>
      <c r="AP333" s="36"/>
      <c r="AQ333" s="35"/>
      <c r="AR333" s="35"/>
      <c r="AS333" s="35"/>
      <c r="AT333" s="35"/>
      <c r="AU333" s="35"/>
    </row>
    <row r="334" spans="1:47" s="7" customFormat="1" ht="15.75" customHeight="1" x14ac:dyDescent="0.35">
      <c r="A334" s="13" t="s">
        <v>200</v>
      </c>
      <c r="B334" s="43">
        <v>71090.759999999995</v>
      </c>
      <c r="C334" s="35">
        <f t="shared" si="5"/>
        <v>113076.54</v>
      </c>
      <c r="D334" s="35">
        <v>2.5</v>
      </c>
      <c r="E334" s="35">
        <v>860</v>
      </c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>
        <v>8</v>
      </c>
      <c r="Q334" s="35">
        <v>3736.36</v>
      </c>
      <c r="R334" s="35"/>
      <c r="S334" s="35"/>
      <c r="T334" s="35"/>
      <c r="U334" s="35"/>
      <c r="V334" s="35"/>
      <c r="W334" s="35"/>
      <c r="X334" s="35"/>
      <c r="Y334" s="35"/>
      <c r="Z334" s="35"/>
      <c r="AA334" s="35"/>
      <c r="AB334" s="35"/>
      <c r="AC334" s="35"/>
      <c r="AD334" s="35">
        <f>44+32</f>
        <v>76</v>
      </c>
      <c r="AE334" s="35">
        <f>16382.5+18684.1</f>
        <v>35066.6</v>
      </c>
      <c r="AF334" s="35"/>
      <c r="AG334" s="35"/>
      <c r="AH334" s="35">
        <v>20</v>
      </c>
      <c r="AI334" s="35">
        <v>27449</v>
      </c>
      <c r="AJ334" s="35"/>
      <c r="AK334" s="35"/>
      <c r="AL334" s="35"/>
      <c r="AM334" s="35"/>
      <c r="AN334" s="36">
        <v>1</v>
      </c>
      <c r="AO334" s="36">
        <v>1081</v>
      </c>
      <c r="AP334" s="36"/>
      <c r="AQ334" s="35"/>
      <c r="AR334" s="35">
        <v>8.23</v>
      </c>
      <c r="AS334" s="35">
        <v>44883.58</v>
      </c>
      <c r="AT334" s="35"/>
      <c r="AU334" s="35"/>
    </row>
    <row r="335" spans="1:47" s="7" customFormat="1" ht="15.75" customHeight="1" x14ac:dyDescent="0.35">
      <c r="A335" s="12" t="s">
        <v>201</v>
      </c>
      <c r="B335" s="33">
        <v>74555.31</v>
      </c>
      <c r="C335" s="35">
        <f t="shared" si="5"/>
        <v>7284.2030000000004</v>
      </c>
      <c r="D335" s="35"/>
      <c r="E335" s="35"/>
      <c r="F335" s="35"/>
      <c r="G335" s="35"/>
      <c r="H335" s="35"/>
      <c r="I335" s="35"/>
      <c r="J335" s="35">
        <v>10</v>
      </c>
      <c r="K335" s="35">
        <v>1000.73</v>
      </c>
      <c r="L335" s="35"/>
      <c r="M335" s="35"/>
      <c r="N335" s="35"/>
      <c r="O335" s="35"/>
      <c r="P335" s="35">
        <v>3</v>
      </c>
      <c r="Q335" s="35">
        <v>1584.93</v>
      </c>
      <c r="R335" s="35"/>
      <c r="S335" s="35"/>
      <c r="T335" s="35"/>
      <c r="U335" s="35"/>
      <c r="V335" s="35"/>
      <c r="W335" s="35"/>
      <c r="X335" s="35"/>
      <c r="Y335" s="35"/>
      <c r="Z335" s="35">
        <v>6</v>
      </c>
      <c r="AA335" s="35">
        <v>1110</v>
      </c>
      <c r="AB335" s="35"/>
      <c r="AC335" s="35"/>
      <c r="AD335" s="35">
        <v>4</v>
      </c>
      <c r="AE335" s="35">
        <v>1426</v>
      </c>
      <c r="AF335" s="35"/>
      <c r="AG335" s="35"/>
      <c r="AH335" s="35"/>
      <c r="AI335" s="35"/>
      <c r="AJ335" s="35">
        <v>15</v>
      </c>
      <c r="AK335" s="35">
        <v>1263.0999999999999</v>
      </c>
      <c r="AL335" s="35">
        <v>3</v>
      </c>
      <c r="AM335" s="35">
        <v>899.44299999999998</v>
      </c>
      <c r="AN335" s="36"/>
      <c r="AO335" s="36"/>
      <c r="AP335" s="36"/>
      <c r="AQ335" s="35"/>
      <c r="AR335" s="35"/>
      <c r="AS335" s="35"/>
      <c r="AT335" s="35"/>
      <c r="AU335" s="35"/>
    </row>
    <row r="336" spans="1:47" s="7" customFormat="1" ht="15.75" customHeight="1" x14ac:dyDescent="0.35">
      <c r="A336" s="12" t="s">
        <v>202</v>
      </c>
      <c r="B336" s="33">
        <v>90779.9</v>
      </c>
      <c r="C336" s="35">
        <f t="shared" si="5"/>
        <v>74721.820000000007</v>
      </c>
      <c r="D336" s="35">
        <v>44</v>
      </c>
      <c r="E336" s="35">
        <v>15697</v>
      </c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  <c r="AA336" s="35"/>
      <c r="AB336" s="35"/>
      <c r="AC336" s="35"/>
      <c r="AD336" s="35"/>
      <c r="AE336" s="35"/>
      <c r="AF336" s="35"/>
      <c r="AG336" s="35"/>
      <c r="AH336" s="35"/>
      <c r="AI336" s="35"/>
      <c r="AJ336" s="35"/>
      <c r="AK336" s="35"/>
      <c r="AL336" s="35"/>
      <c r="AM336" s="35"/>
      <c r="AN336" s="36">
        <v>1</v>
      </c>
      <c r="AO336" s="36">
        <v>5671</v>
      </c>
      <c r="AP336" s="36"/>
      <c r="AQ336" s="35"/>
      <c r="AR336" s="35">
        <v>9.7799999999999994</v>
      </c>
      <c r="AS336" s="35">
        <v>53353.82</v>
      </c>
      <c r="AT336" s="35"/>
      <c r="AU336" s="35"/>
    </row>
    <row r="337" spans="1:47" s="7" customFormat="1" ht="15.75" customHeight="1" x14ac:dyDescent="0.35">
      <c r="A337" s="12" t="s">
        <v>203</v>
      </c>
      <c r="B337" s="33">
        <v>86604.47</v>
      </c>
      <c r="C337" s="35">
        <f t="shared" si="5"/>
        <v>37985.14</v>
      </c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>
        <v>3</v>
      </c>
      <c r="W337" s="35">
        <v>4040</v>
      </c>
      <c r="X337" s="35"/>
      <c r="Y337" s="35"/>
      <c r="Z337" s="35"/>
      <c r="AA337" s="35"/>
      <c r="AB337" s="35"/>
      <c r="AC337" s="35"/>
      <c r="AD337" s="35"/>
      <c r="AE337" s="35"/>
      <c r="AF337" s="35"/>
      <c r="AG337" s="35"/>
      <c r="AH337" s="35"/>
      <c r="AI337" s="35"/>
      <c r="AJ337" s="35"/>
      <c r="AK337" s="35"/>
      <c r="AL337" s="35"/>
      <c r="AM337" s="35"/>
      <c r="AN337" s="36"/>
      <c r="AO337" s="36"/>
      <c r="AP337" s="36"/>
      <c r="AQ337" s="35"/>
      <c r="AR337" s="35">
        <v>8.26</v>
      </c>
      <c r="AS337" s="35">
        <v>37985.14</v>
      </c>
      <c r="AT337" s="35"/>
      <c r="AU337" s="35"/>
    </row>
    <row r="338" spans="1:47" s="7" customFormat="1" ht="15.75" customHeight="1" x14ac:dyDescent="0.35">
      <c r="A338" s="12" t="s">
        <v>204</v>
      </c>
      <c r="B338" s="33">
        <v>22803.43</v>
      </c>
      <c r="C338" s="35">
        <f t="shared" si="5"/>
        <v>75647.33</v>
      </c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>
        <v>6</v>
      </c>
      <c r="Q338" s="35">
        <v>2122.1</v>
      </c>
      <c r="R338" s="35"/>
      <c r="S338" s="35"/>
      <c r="T338" s="35"/>
      <c r="U338" s="35"/>
      <c r="V338" s="35"/>
      <c r="W338" s="35"/>
      <c r="X338" s="35"/>
      <c r="Y338" s="35"/>
      <c r="Z338" s="35"/>
      <c r="AA338" s="35"/>
      <c r="AB338" s="35"/>
      <c r="AC338" s="35"/>
      <c r="AD338" s="35"/>
      <c r="AE338" s="35"/>
      <c r="AF338" s="35"/>
      <c r="AG338" s="35"/>
      <c r="AH338" s="35"/>
      <c r="AI338" s="35"/>
      <c r="AJ338" s="35"/>
      <c r="AK338" s="35"/>
      <c r="AL338" s="35"/>
      <c r="AM338" s="35"/>
      <c r="AN338" s="36"/>
      <c r="AO338" s="36"/>
      <c r="AP338" s="36"/>
      <c r="AQ338" s="35"/>
      <c r="AR338" s="35">
        <v>13.48</v>
      </c>
      <c r="AS338" s="35">
        <v>73525.23</v>
      </c>
      <c r="AT338" s="35"/>
      <c r="AU338" s="35"/>
    </row>
    <row r="339" spans="1:47" s="7" customFormat="1" ht="15.75" customHeight="1" x14ac:dyDescent="0.35">
      <c r="A339" s="12" t="s">
        <v>205</v>
      </c>
      <c r="B339" s="33">
        <v>71140.070000000007</v>
      </c>
      <c r="C339" s="35">
        <f t="shared" si="5"/>
        <v>0</v>
      </c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  <c r="AA339" s="35"/>
      <c r="AB339" s="35"/>
      <c r="AC339" s="35"/>
      <c r="AD339" s="35"/>
      <c r="AE339" s="35"/>
      <c r="AF339" s="35"/>
      <c r="AG339" s="35"/>
      <c r="AH339" s="35"/>
      <c r="AI339" s="35"/>
      <c r="AJ339" s="35"/>
      <c r="AK339" s="35"/>
      <c r="AL339" s="35"/>
      <c r="AM339" s="35"/>
      <c r="AN339" s="36"/>
      <c r="AO339" s="36"/>
      <c r="AP339" s="36"/>
      <c r="AQ339" s="35"/>
      <c r="AR339" s="35"/>
      <c r="AS339" s="35"/>
      <c r="AT339" s="35"/>
      <c r="AU339" s="35"/>
    </row>
    <row r="340" spans="1:47" s="7" customFormat="1" ht="15.75" customHeight="1" x14ac:dyDescent="0.35">
      <c r="A340" s="12" t="s">
        <v>206</v>
      </c>
      <c r="B340" s="33">
        <v>45429.83</v>
      </c>
      <c r="C340" s="35">
        <f t="shared" si="5"/>
        <v>7886</v>
      </c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  <c r="AA340" s="35"/>
      <c r="AB340" s="35"/>
      <c r="AC340" s="35"/>
      <c r="AD340" s="35"/>
      <c r="AE340" s="35"/>
      <c r="AF340" s="35"/>
      <c r="AG340" s="35"/>
      <c r="AH340" s="35"/>
      <c r="AI340" s="35"/>
      <c r="AJ340" s="35"/>
      <c r="AK340" s="35"/>
      <c r="AL340" s="35"/>
      <c r="AM340" s="35"/>
      <c r="AN340" s="36"/>
      <c r="AO340" s="36"/>
      <c r="AP340" s="36"/>
      <c r="AQ340" s="35"/>
      <c r="AR340" s="35"/>
      <c r="AS340" s="35"/>
      <c r="AT340" s="35"/>
      <c r="AU340" s="35">
        <v>7886</v>
      </c>
    </row>
    <row r="341" spans="1:47" s="7" customFormat="1" ht="15.75" customHeight="1" x14ac:dyDescent="0.35">
      <c r="A341" s="12" t="s">
        <v>207</v>
      </c>
      <c r="B341" s="33">
        <v>191443.71</v>
      </c>
      <c r="C341" s="35">
        <f t="shared" si="5"/>
        <v>7673.0800000000008</v>
      </c>
      <c r="D341" s="35"/>
      <c r="E341" s="35"/>
      <c r="F341" s="35"/>
      <c r="G341" s="35"/>
      <c r="H341" s="35"/>
      <c r="I341" s="35"/>
      <c r="J341" s="35">
        <v>11</v>
      </c>
      <c r="K341" s="35">
        <f>278.256+688</f>
        <v>966.25599999999997</v>
      </c>
      <c r="L341" s="35"/>
      <c r="M341" s="35"/>
      <c r="N341" s="35"/>
      <c r="O341" s="35"/>
      <c r="P341" s="35"/>
      <c r="Q341" s="35"/>
      <c r="R341" s="35">
        <v>4</v>
      </c>
      <c r="S341" s="35">
        <f>383.03+367+577.26</f>
        <v>1327.29</v>
      </c>
      <c r="T341" s="35"/>
      <c r="U341" s="35"/>
      <c r="V341" s="35"/>
      <c r="W341" s="35"/>
      <c r="X341" s="35"/>
      <c r="Y341" s="35"/>
      <c r="Z341" s="35"/>
      <c r="AA341" s="35"/>
      <c r="AB341" s="35"/>
      <c r="AC341" s="35"/>
      <c r="AD341" s="35"/>
      <c r="AE341" s="35"/>
      <c r="AF341" s="35"/>
      <c r="AG341" s="35"/>
      <c r="AH341" s="35">
        <v>1</v>
      </c>
      <c r="AI341" s="35">
        <v>345.74</v>
      </c>
      <c r="AJ341" s="35">
        <f>25+8</f>
        <v>33</v>
      </c>
      <c r="AK341" s="35">
        <f>1746.13+579.899+2275</f>
        <v>4601.0290000000005</v>
      </c>
      <c r="AL341" s="35"/>
      <c r="AM341" s="35"/>
      <c r="AN341" s="36">
        <v>1</v>
      </c>
      <c r="AO341" s="36">
        <v>432.76499999999999</v>
      </c>
      <c r="AP341" s="36"/>
      <c r="AQ341" s="35"/>
      <c r="AR341" s="35"/>
      <c r="AS341" s="35"/>
      <c r="AT341" s="35"/>
      <c r="AU341" s="35"/>
    </row>
    <row r="342" spans="1:47" s="7" customFormat="1" ht="15.75" customHeight="1" x14ac:dyDescent="0.35">
      <c r="A342" s="12" t="s">
        <v>208</v>
      </c>
      <c r="B342" s="33">
        <v>28133.89</v>
      </c>
      <c r="C342" s="35">
        <f t="shared" si="5"/>
        <v>140416.55780000001</v>
      </c>
      <c r="D342" s="35"/>
      <c r="E342" s="35"/>
      <c r="F342" s="35"/>
      <c r="G342" s="35"/>
      <c r="H342" s="35"/>
      <c r="I342" s="35"/>
      <c r="J342" s="35">
        <v>17</v>
      </c>
      <c r="K342" s="35">
        <f>11692.42+278.256</f>
        <v>11970.675999999999</v>
      </c>
      <c r="L342" s="35">
        <v>303</v>
      </c>
      <c r="M342" s="35">
        <v>108351</v>
      </c>
      <c r="N342" s="35"/>
      <c r="O342" s="35"/>
      <c r="P342" s="35">
        <v>6</v>
      </c>
      <c r="Q342" s="35">
        <v>4133</v>
      </c>
      <c r="R342" s="35"/>
      <c r="S342" s="35"/>
      <c r="T342" s="35"/>
      <c r="U342" s="35"/>
      <c r="V342" s="35">
        <v>10</v>
      </c>
      <c r="W342" s="35">
        <v>12903</v>
      </c>
      <c r="X342" s="35">
        <v>3.4</v>
      </c>
      <c r="Y342" s="35">
        <v>1059.6518000000001</v>
      </c>
      <c r="Z342" s="35">
        <v>20</v>
      </c>
      <c r="AA342" s="35">
        <v>14158.65</v>
      </c>
      <c r="AB342" s="35"/>
      <c r="AC342" s="35"/>
      <c r="AD342" s="35"/>
      <c r="AE342" s="35"/>
      <c r="AF342" s="35"/>
      <c r="AG342" s="35"/>
      <c r="AH342" s="35"/>
      <c r="AI342" s="35"/>
      <c r="AJ342" s="35"/>
      <c r="AK342" s="35"/>
      <c r="AL342" s="35">
        <v>2</v>
      </c>
      <c r="AM342" s="35">
        <v>743.58</v>
      </c>
      <c r="AN342" s="36"/>
      <c r="AO342" s="36"/>
      <c r="AP342" s="36"/>
      <c r="AQ342" s="35"/>
      <c r="AR342" s="35"/>
      <c r="AS342" s="35"/>
      <c r="AT342" s="35"/>
      <c r="AU342" s="35"/>
    </row>
    <row r="343" spans="1:47" s="7" customFormat="1" ht="15.75" customHeight="1" x14ac:dyDescent="0.35">
      <c r="A343" s="12" t="s">
        <v>209</v>
      </c>
      <c r="B343" s="33">
        <v>130174.04</v>
      </c>
      <c r="C343" s="35">
        <f t="shared" si="5"/>
        <v>84207.260000000009</v>
      </c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>
        <v>8</v>
      </c>
      <c r="Q343" s="35">
        <v>3423.23</v>
      </c>
      <c r="R343" s="35"/>
      <c r="S343" s="35"/>
      <c r="T343" s="35"/>
      <c r="U343" s="35"/>
      <c r="V343" s="35"/>
      <c r="W343" s="35"/>
      <c r="X343" s="35"/>
      <c r="Y343" s="35"/>
      <c r="Z343" s="35"/>
      <c r="AA343" s="35"/>
      <c r="AB343" s="35"/>
      <c r="AC343" s="35"/>
      <c r="AD343" s="35"/>
      <c r="AE343" s="35"/>
      <c r="AF343" s="35"/>
      <c r="AG343" s="35"/>
      <c r="AH343" s="35"/>
      <c r="AI343" s="35"/>
      <c r="AJ343" s="35">
        <v>15</v>
      </c>
      <c r="AK343" s="35">
        <v>1240</v>
      </c>
      <c r="AL343" s="35"/>
      <c r="AM343" s="35"/>
      <c r="AN343" s="36">
        <v>1</v>
      </c>
      <c r="AO343" s="36">
        <v>839.79</v>
      </c>
      <c r="AP343" s="36"/>
      <c r="AQ343" s="35"/>
      <c r="AR343" s="35">
        <v>12.98</v>
      </c>
      <c r="AS343" s="35">
        <v>70818.240000000005</v>
      </c>
      <c r="AT343" s="35"/>
      <c r="AU343" s="35">
        <v>7886</v>
      </c>
    </row>
    <row r="344" spans="1:47" s="7" customFormat="1" ht="15.75" customHeight="1" x14ac:dyDescent="0.35">
      <c r="A344" s="12" t="s">
        <v>210</v>
      </c>
      <c r="B344" s="33">
        <v>61018.51</v>
      </c>
      <c r="C344" s="35">
        <f t="shared" si="5"/>
        <v>46888.53</v>
      </c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>
        <v>6</v>
      </c>
      <c r="Q344" s="35">
        <v>3072.73</v>
      </c>
      <c r="R344" s="35"/>
      <c r="S344" s="35"/>
      <c r="T344" s="35"/>
      <c r="U344" s="35"/>
      <c r="V344" s="35"/>
      <c r="W344" s="35"/>
      <c r="X344" s="35"/>
      <c r="Y344" s="35"/>
      <c r="Z344" s="35"/>
      <c r="AA344" s="35"/>
      <c r="AB344" s="35"/>
      <c r="AC344" s="35"/>
      <c r="AD344" s="35">
        <v>3</v>
      </c>
      <c r="AE344" s="35">
        <v>1574.06</v>
      </c>
      <c r="AF344" s="35"/>
      <c r="AG344" s="35"/>
      <c r="AH344" s="35">
        <v>2</v>
      </c>
      <c r="AI344" s="35">
        <v>3167.2</v>
      </c>
      <c r="AJ344" s="35"/>
      <c r="AK344" s="35"/>
      <c r="AL344" s="35">
        <v>10</v>
      </c>
      <c r="AM344" s="35">
        <f>3689.4+107</f>
        <v>3796.4</v>
      </c>
      <c r="AN344" s="36"/>
      <c r="AO344" s="36"/>
      <c r="AP344" s="36"/>
      <c r="AQ344" s="35"/>
      <c r="AR344" s="35">
        <v>6.47</v>
      </c>
      <c r="AS344" s="35">
        <v>35278.14</v>
      </c>
      <c r="AT344" s="35"/>
      <c r="AU344" s="35"/>
    </row>
    <row r="345" spans="1:47" s="7" customFormat="1" ht="15.75" customHeight="1" x14ac:dyDescent="0.35">
      <c r="A345" s="12" t="s">
        <v>211</v>
      </c>
      <c r="B345" s="33">
        <v>66104.320000000007</v>
      </c>
      <c r="C345" s="35">
        <f t="shared" si="5"/>
        <v>16112.82</v>
      </c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  <c r="AA345" s="35"/>
      <c r="AB345" s="35"/>
      <c r="AC345" s="35"/>
      <c r="AD345" s="35"/>
      <c r="AE345" s="35"/>
      <c r="AF345" s="35"/>
      <c r="AG345" s="35"/>
      <c r="AH345" s="35"/>
      <c r="AI345" s="35"/>
      <c r="AJ345" s="35"/>
      <c r="AK345" s="35"/>
      <c r="AL345" s="35">
        <v>18</v>
      </c>
      <c r="AM345" s="35">
        <v>10569.1</v>
      </c>
      <c r="AN345" s="36">
        <v>5</v>
      </c>
      <c r="AO345" s="36">
        <v>5543.72</v>
      </c>
      <c r="AP345" s="36"/>
      <c r="AQ345" s="35"/>
      <c r="AR345" s="35"/>
      <c r="AS345" s="35"/>
      <c r="AT345" s="35"/>
      <c r="AU345" s="35"/>
    </row>
    <row r="346" spans="1:47" s="7" customFormat="1" ht="15.75" customHeight="1" x14ac:dyDescent="0.35">
      <c r="A346" s="12" t="s">
        <v>212</v>
      </c>
      <c r="B346" s="33">
        <v>89720.83</v>
      </c>
      <c r="C346" s="35">
        <f t="shared" si="5"/>
        <v>108514.20999999999</v>
      </c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>
        <v>35</v>
      </c>
      <c r="Q346" s="35">
        <f>19368.1+57+299.52+2119</f>
        <v>21843.62</v>
      </c>
      <c r="R346" s="35">
        <v>4</v>
      </c>
      <c r="S346" s="35">
        <f>764+376.48+319.05+366.98</f>
        <v>1826.51</v>
      </c>
      <c r="T346" s="35">
        <v>7</v>
      </c>
      <c r="U346" s="35">
        <v>6653</v>
      </c>
      <c r="V346" s="35"/>
      <c r="W346" s="35"/>
      <c r="X346" s="35"/>
      <c r="Y346" s="35"/>
      <c r="Z346" s="35"/>
      <c r="AA346" s="35"/>
      <c r="AB346" s="35"/>
      <c r="AC346" s="35"/>
      <c r="AD346" s="35">
        <f>44+25</f>
        <v>69</v>
      </c>
      <c r="AE346" s="35">
        <v>14456.8</v>
      </c>
      <c r="AF346" s="35"/>
      <c r="AG346" s="35"/>
      <c r="AH346" s="35"/>
      <c r="AI346" s="35"/>
      <c r="AJ346" s="35">
        <v>10</v>
      </c>
      <c r="AK346" s="35">
        <f>496.5+4208</f>
        <v>4704.5</v>
      </c>
      <c r="AL346" s="35"/>
      <c r="AM346" s="35"/>
      <c r="AN346" s="36"/>
      <c r="AO346" s="36"/>
      <c r="AP346" s="36"/>
      <c r="AQ346" s="35"/>
      <c r="AR346" s="35">
        <v>10.82</v>
      </c>
      <c r="AS346" s="35">
        <v>59029.78</v>
      </c>
      <c r="AT346" s="35"/>
      <c r="AU346" s="35"/>
    </row>
    <row r="347" spans="1:47" s="7" customFormat="1" ht="15.75" customHeight="1" x14ac:dyDescent="0.35">
      <c r="A347" s="12" t="s">
        <v>213</v>
      </c>
      <c r="B347" s="33">
        <v>55465.25</v>
      </c>
      <c r="C347" s="35">
        <f t="shared" si="5"/>
        <v>196417.25999999998</v>
      </c>
      <c r="D347" s="35"/>
      <c r="E347" s="35"/>
      <c r="F347" s="35"/>
      <c r="G347" s="35"/>
      <c r="H347" s="35"/>
      <c r="I347" s="35"/>
      <c r="J347" s="35">
        <v>15.5</v>
      </c>
      <c r="K347" s="35">
        <v>1413.77</v>
      </c>
      <c r="L347" s="35">
        <v>543</v>
      </c>
      <c r="M347" s="35">
        <v>158449</v>
      </c>
      <c r="N347" s="35"/>
      <c r="O347" s="35"/>
      <c r="P347" s="35"/>
      <c r="Q347" s="35"/>
      <c r="R347" s="35">
        <v>2</v>
      </c>
      <c r="S347" s="35">
        <v>1552</v>
      </c>
      <c r="T347" s="35">
        <v>8</v>
      </c>
      <c r="U347" s="35">
        <v>4789</v>
      </c>
      <c r="V347" s="35"/>
      <c r="W347" s="35"/>
      <c r="X347" s="35"/>
      <c r="Y347" s="35"/>
      <c r="Z347" s="35"/>
      <c r="AA347" s="35"/>
      <c r="AB347" s="35"/>
      <c r="AC347" s="35"/>
      <c r="AD347" s="35"/>
      <c r="AE347" s="35"/>
      <c r="AF347" s="35"/>
      <c r="AG347" s="35"/>
      <c r="AH347" s="35"/>
      <c r="AI347" s="35"/>
      <c r="AJ347" s="35"/>
      <c r="AK347" s="35"/>
      <c r="AL347" s="35"/>
      <c r="AM347" s="35"/>
      <c r="AN347" s="36"/>
      <c r="AO347" s="36"/>
      <c r="AP347" s="36"/>
      <c r="AQ347" s="35"/>
      <c r="AR347" s="35">
        <v>5.54</v>
      </c>
      <c r="AS347" s="35">
        <v>30213.49</v>
      </c>
      <c r="AT347" s="35"/>
      <c r="AU347" s="35"/>
    </row>
    <row r="348" spans="1:47" s="7" customFormat="1" ht="15.75" customHeight="1" x14ac:dyDescent="0.35">
      <c r="A348" s="55" t="s">
        <v>214</v>
      </c>
      <c r="B348" s="51">
        <v>108266.75</v>
      </c>
      <c r="C348" s="35">
        <f t="shared" si="5"/>
        <v>74065.709999999992</v>
      </c>
      <c r="D348" s="41"/>
      <c r="E348" s="41"/>
      <c r="F348" s="41"/>
      <c r="G348" s="41"/>
      <c r="H348" s="41"/>
      <c r="I348" s="41"/>
      <c r="J348" s="41">
        <f>21+19</f>
        <v>40</v>
      </c>
      <c r="K348" s="41">
        <f>1577.05+2082.81</f>
        <v>3659.8599999999997</v>
      </c>
      <c r="L348" s="41"/>
      <c r="M348" s="41"/>
      <c r="N348" s="41"/>
      <c r="O348" s="41"/>
      <c r="P348" s="41"/>
      <c r="Q348" s="41"/>
      <c r="R348" s="41">
        <v>4</v>
      </c>
      <c r="S348" s="41">
        <f>752.95+776</f>
        <v>1528.95</v>
      </c>
      <c r="T348" s="41"/>
      <c r="U348" s="41"/>
      <c r="V348" s="41"/>
      <c r="W348" s="41"/>
      <c r="X348" s="41"/>
      <c r="Y348" s="41"/>
      <c r="Z348" s="41"/>
      <c r="AA348" s="41"/>
      <c r="AB348" s="41"/>
      <c r="AC348" s="41"/>
      <c r="AD348" s="41"/>
      <c r="AE348" s="41"/>
      <c r="AF348" s="41"/>
      <c r="AG348" s="41"/>
      <c r="AH348" s="41"/>
      <c r="AI348" s="41"/>
      <c r="AJ348" s="41"/>
      <c r="AK348" s="41"/>
      <c r="AL348" s="41">
        <v>1</v>
      </c>
      <c r="AM348" s="41">
        <v>591</v>
      </c>
      <c r="AN348" s="42"/>
      <c r="AO348" s="42"/>
      <c r="AP348" s="42"/>
      <c r="AQ348" s="41"/>
      <c r="AR348" s="41">
        <v>12.52</v>
      </c>
      <c r="AS348" s="41">
        <v>68285.899999999994</v>
      </c>
      <c r="AT348" s="41"/>
      <c r="AU348" s="41"/>
    </row>
    <row r="349" spans="1:47" s="7" customFormat="1" ht="15.75" customHeight="1" x14ac:dyDescent="0.35">
      <c r="A349" s="12" t="s">
        <v>215</v>
      </c>
      <c r="B349" s="33">
        <v>46610.16</v>
      </c>
      <c r="C349" s="35">
        <f t="shared" si="5"/>
        <v>45773.677000000003</v>
      </c>
      <c r="D349" s="35"/>
      <c r="E349" s="35"/>
      <c r="F349" s="35"/>
      <c r="G349" s="35"/>
      <c r="H349" s="35"/>
      <c r="I349" s="35"/>
      <c r="J349" s="35">
        <v>9.6</v>
      </c>
      <c r="K349" s="35">
        <v>970.7</v>
      </c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  <c r="AA349" s="35"/>
      <c r="AB349" s="35"/>
      <c r="AC349" s="35"/>
      <c r="AD349" s="35">
        <v>39</v>
      </c>
      <c r="AE349" s="35">
        <v>26249.48</v>
      </c>
      <c r="AF349" s="35"/>
      <c r="AG349" s="35"/>
      <c r="AH349" s="35"/>
      <c r="AI349" s="35"/>
      <c r="AJ349" s="35">
        <v>38</v>
      </c>
      <c r="AK349" s="35">
        <f>347.947+16840</f>
        <v>17187.947</v>
      </c>
      <c r="AL349" s="35">
        <v>4</v>
      </c>
      <c r="AM349" s="35">
        <f>1258.55+107</f>
        <v>1365.55</v>
      </c>
      <c r="AN349" s="36"/>
      <c r="AO349" s="36"/>
      <c r="AP349" s="36"/>
      <c r="AQ349" s="35"/>
      <c r="AR349" s="35"/>
      <c r="AS349" s="35"/>
      <c r="AT349" s="35"/>
      <c r="AU349" s="35"/>
    </row>
    <row r="350" spans="1:47" s="7" customFormat="1" ht="15.75" customHeight="1" x14ac:dyDescent="0.35">
      <c r="A350" s="12" t="s">
        <v>216</v>
      </c>
      <c r="B350" s="33">
        <v>113722.22</v>
      </c>
      <c r="C350" s="35">
        <f t="shared" si="5"/>
        <v>128442.64</v>
      </c>
      <c r="D350" s="35"/>
      <c r="E350" s="35"/>
      <c r="F350" s="35"/>
      <c r="G350" s="35"/>
      <c r="H350" s="35"/>
      <c r="I350" s="35"/>
      <c r="J350" s="35">
        <v>155</v>
      </c>
      <c r="K350" s="35">
        <f>225.3+31408.5+27011.31+37062.03</f>
        <v>95707.14</v>
      </c>
      <c r="L350" s="35"/>
      <c r="M350" s="35"/>
      <c r="N350" s="35"/>
      <c r="O350" s="35"/>
      <c r="P350" s="35">
        <f>14+45</f>
        <v>59</v>
      </c>
      <c r="Q350" s="35">
        <f>30168.1+1820.4+747</f>
        <v>32735.5</v>
      </c>
      <c r="R350" s="35"/>
      <c r="S350" s="35"/>
      <c r="T350" s="35"/>
      <c r="U350" s="35"/>
      <c r="V350" s="35"/>
      <c r="W350" s="35"/>
      <c r="X350" s="35"/>
      <c r="Y350" s="35"/>
      <c r="Z350" s="35"/>
      <c r="AA350" s="35"/>
      <c r="AB350" s="35"/>
      <c r="AC350" s="35"/>
      <c r="AD350" s="35"/>
      <c r="AE350" s="35"/>
      <c r="AF350" s="35"/>
      <c r="AG350" s="35"/>
      <c r="AH350" s="35"/>
      <c r="AI350" s="35"/>
      <c r="AJ350" s="35"/>
      <c r="AK350" s="35"/>
      <c r="AL350" s="35"/>
      <c r="AM350" s="35"/>
      <c r="AN350" s="36"/>
      <c r="AO350" s="36"/>
      <c r="AP350" s="36"/>
      <c r="AQ350" s="35"/>
      <c r="AR350" s="35"/>
      <c r="AS350" s="35"/>
      <c r="AT350" s="35"/>
      <c r="AU350" s="35"/>
    </row>
    <row r="351" spans="1:47" s="7" customFormat="1" ht="15.75" customHeight="1" x14ac:dyDescent="0.35">
      <c r="A351" s="12" t="s">
        <v>217</v>
      </c>
      <c r="B351" s="33">
        <v>60457.57</v>
      </c>
      <c r="C351" s="35">
        <f t="shared" si="5"/>
        <v>94585.699999999983</v>
      </c>
      <c r="D351" s="35"/>
      <c r="E351" s="35"/>
      <c r="F351" s="35"/>
      <c r="G351" s="35"/>
      <c r="H351" s="35"/>
      <c r="I351" s="35"/>
      <c r="J351" s="35">
        <f>16+13+20+42</f>
        <v>91</v>
      </c>
      <c r="K351" s="35">
        <f>1451.32+26383.14+8166.21+11935.23+852.99</f>
        <v>48788.889999999992</v>
      </c>
      <c r="L351" s="35"/>
      <c r="M351" s="35"/>
      <c r="N351" s="35"/>
      <c r="O351" s="35"/>
      <c r="P351" s="35"/>
      <c r="Q351" s="35"/>
      <c r="R351" s="35">
        <v>1</v>
      </c>
      <c r="S351" s="35">
        <v>302</v>
      </c>
      <c r="T351" s="35"/>
      <c r="U351" s="35"/>
      <c r="V351" s="35"/>
      <c r="W351" s="35"/>
      <c r="X351" s="35"/>
      <c r="Y351" s="35"/>
      <c r="Z351" s="35"/>
      <c r="AA351" s="35"/>
      <c r="AB351" s="35"/>
      <c r="AC351" s="35"/>
      <c r="AD351" s="35"/>
      <c r="AE351" s="35"/>
      <c r="AF351" s="35"/>
      <c r="AG351" s="35"/>
      <c r="AH351" s="35"/>
      <c r="AI351" s="35"/>
      <c r="AJ351" s="35"/>
      <c r="AK351" s="35"/>
      <c r="AL351" s="35"/>
      <c r="AM351" s="35"/>
      <c r="AN351" s="36"/>
      <c r="AO351" s="36"/>
      <c r="AP351" s="36"/>
      <c r="AQ351" s="35"/>
      <c r="AR351" s="35">
        <v>8.34</v>
      </c>
      <c r="AS351" s="35">
        <v>45494.81</v>
      </c>
      <c r="AT351" s="35"/>
      <c r="AU351" s="35"/>
    </row>
    <row r="352" spans="1:47" s="7" customFormat="1" ht="15.75" customHeight="1" x14ac:dyDescent="0.35">
      <c r="A352" s="12" t="s">
        <v>218</v>
      </c>
      <c r="B352" s="33">
        <v>79711.56</v>
      </c>
      <c r="C352" s="35">
        <f t="shared" si="5"/>
        <v>2152.2200000000003</v>
      </c>
      <c r="D352" s="35"/>
      <c r="E352" s="35"/>
      <c r="F352" s="35"/>
      <c r="G352" s="35"/>
      <c r="H352" s="35"/>
      <c r="I352" s="35"/>
      <c r="J352" s="35">
        <v>15</v>
      </c>
      <c r="K352" s="35">
        <v>1376.22</v>
      </c>
      <c r="L352" s="35"/>
      <c r="M352" s="35"/>
      <c r="N352" s="35"/>
      <c r="O352" s="35"/>
      <c r="P352" s="35"/>
      <c r="Q352" s="35"/>
      <c r="R352" s="35">
        <v>1</v>
      </c>
      <c r="S352" s="35">
        <v>776</v>
      </c>
      <c r="T352" s="35"/>
      <c r="U352" s="35"/>
      <c r="V352" s="35"/>
      <c r="W352" s="35"/>
      <c r="X352" s="35"/>
      <c r="Y352" s="35"/>
      <c r="Z352" s="35"/>
      <c r="AA352" s="35"/>
      <c r="AB352" s="35"/>
      <c r="AC352" s="35"/>
      <c r="AD352" s="35"/>
      <c r="AE352" s="35"/>
      <c r="AF352" s="35"/>
      <c r="AG352" s="35"/>
      <c r="AH352" s="35"/>
      <c r="AI352" s="35"/>
      <c r="AJ352" s="35"/>
      <c r="AK352" s="35"/>
      <c r="AL352" s="35"/>
      <c r="AM352" s="35"/>
      <c r="AN352" s="36"/>
      <c r="AO352" s="36"/>
      <c r="AP352" s="36"/>
      <c r="AQ352" s="35"/>
      <c r="AR352" s="35"/>
      <c r="AS352" s="35"/>
      <c r="AT352" s="35"/>
      <c r="AU352" s="35"/>
    </row>
    <row r="353" spans="1:47" s="7" customFormat="1" ht="15.75" customHeight="1" x14ac:dyDescent="0.35">
      <c r="A353" s="12" t="s">
        <v>219</v>
      </c>
      <c r="B353" s="33">
        <v>88754.02</v>
      </c>
      <c r="C353" s="35">
        <f t="shared" si="5"/>
        <v>69867.820000000007</v>
      </c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>
        <v>6</v>
      </c>
      <c r="U353" s="35">
        <v>11100</v>
      </c>
      <c r="V353" s="35"/>
      <c r="W353" s="35"/>
      <c r="X353" s="35"/>
      <c r="Y353" s="35"/>
      <c r="Z353" s="35"/>
      <c r="AA353" s="35"/>
      <c r="AB353" s="35"/>
      <c r="AC353" s="35"/>
      <c r="AD353" s="35"/>
      <c r="AE353" s="35"/>
      <c r="AF353" s="35"/>
      <c r="AG353" s="35"/>
      <c r="AH353" s="35"/>
      <c r="AI353" s="35"/>
      <c r="AJ353" s="35"/>
      <c r="AK353" s="35"/>
      <c r="AL353" s="35"/>
      <c r="AM353" s="35"/>
      <c r="AN353" s="36"/>
      <c r="AO353" s="36"/>
      <c r="AP353" s="36"/>
      <c r="AQ353" s="35"/>
      <c r="AR353" s="35">
        <v>10.77</v>
      </c>
      <c r="AS353" s="35">
        <v>58767.82</v>
      </c>
      <c r="AT353" s="35"/>
      <c r="AU353" s="35"/>
    </row>
    <row r="354" spans="1:47" s="7" customFormat="1" ht="15.75" customHeight="1" x14ac:dyDescent="0.35">
      <c r="A354" s="12" t="s">
        <v>220</v>
      </c>
      <c r="B354" s="33">
        <v>71600.53</v>
      </c>
      <c r="C354" s="35">
        <f t="shared" si="5"/>
        <v>6844.3</v>
      </c>
      <c r="D354" s="35">
        <v>6</v>
      </c>
      <c r="E354" s="35">
        <v>6087.62</v>
      </c>
      <c r="F354" s="35"/>
      <c r="G354" s="35"/>
      <c r="H354" s="35"/>
      <c r="I354" s="35"/>
      <c r="J354" s="35">
        <v>6.75</v>
      </c>
      <c r="K354" s="35">
        <v>756.68</v>
      </c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  <c r="AA354" s="35"/>
      <c r="AB354" s="35"/>
      <c r="AC354" s="35"/>
      <c r="AD354" s="35"/>
      <c r="AE354" s="35"/>
      <c r="AF354" s="35"/>
      <c r="AG354" s="35"/>
      <c r="AH354" s="35"/>
      <c r="AI354" s="35"/>
      <c r="AJ354" s="35"/>
      <c r="AK354" s="35"/>
      <c r="AL354" s="35"/>
      <c r="AM354" s="35"/>
      <c r="AN354" s="36"/>
      <c r="AO354" s="36"/>
      <c r="AP354" s="36"/>
      <c r="AQ354" s="35"/>
      <c r="AR354" s="35"/>
      <c r="AS354" s="35"/>
      <c r="AT354" s="35"/>
      <c r="AU354" s="35"/>
    </row>
    <row r="355" spans="1:47" s="7" customFormat="1" ht="15.75" customHeight="1" x14ac:dyDescent="0.35">
      <c r="A355" s="12" t="s">
        <v>221</v>
      </c>
      <c r="B355" s="33">
        <v>106132.16</v>
      </c>
      <c r="C355" s="35">
        <f t="shared" si="5"/>
        <v>8774.7049999999999</v>
      </c>
      <c r="D355" s="35"/>
      <c r="E355" s="35"/>
      <c r="F355" s="35"/>
      <c r="G355" s="35"/>
      <c r="H355" s="35"/>
      <c r="I355" s="35"/>
      <c r="J355" s="35">
        <f>14+13</f>
        <v>27</v>
      </c>
      <c r="K355" s="35">
        <f>1301.13+995</f>
        <v>2296.13</v>
      </c>
      <c r="L355" s="35"/>
      <c r="M355" s="35"/>
      <c r="N355" s="35"/>
      <c r="O355" s="35"/>
      <c r="P355" s="35">
        <v>2</v>
      </c>
      <c r="Q355" s="35">
        <v>1200.1400000000001</v>
      </c>
      <c r="R355" s="35">
        <v>1</v>
      </c>
      <c r="S355" s="35">
        <v>1146</v>
      </c>
      <c r="T355" s="35"/>
      <c r="U355" s="35"/>
      <c r="V355" s="35"/>
      <c r="W355" s="35"/>
      <c r="X355" s="35"/>
      <c r="Y355" s="35"/>
      <c r="Z355" s="35"/>
      <c r="AA355" s="35"/>
      <c r="AB355" s="35"/>
      <c r="AC355" s="35"/>
      <c r="AD355" s="35"/>
      <c r="AE355" s="35"/>
      <c r="AF355" s="35"/>
      <c r="AG355" s="35"/>
      <c r="AH355" s="35"/>
      <c r="AI355" s="35"/>
      <c r="AJ355" s="35"/>
      <c r="AK355" s="35"/>
      <c r="AL355" s="35">
        <v>2</v>
      </c>
      <c r="AM355" s="35">
        <f>509.03+766</f>
        <v>1275.03</v>
      </c>
      <c r="AN355" s="36">
        <v>4</v>
      </c>
      <c r="AO355" s="36">
        <f>1559.12+432.765+865.52</f>
        <v>2857.4049999999997</v>
      </c>
      <c r="AP355" s="36"/>
      <c r="AQ355" s="35"/>
      <c r="AR355" s="35"/>
      <c r="AS355" s="35"/>
      <c r="AT355" s="35"/>
      <c r="AU355" s="35"/>
    </row>
    <row r="356" spans="1:47" s="7" customFormat="1" ht="15.75" customHeight="1" x14ac:dyDescent="0.35">
      <c r="A356" s="12" t="s">
        <v>222</v>
      </c>
      <c r="B356" s="33">
        <v>87317.43</v>
      </c>
      <c r="C356" s="35">
        <f t="shared" si="5"/>
        <v>11002.51</v>
      </c>
      <c r="D356" s="35"/>
      <c r="E356" s="35"/>
      <c r="F356" s="35"/>
      <c r="G356" s="35"/>
      <c r="H356" s="35"/>
      <c r="I356" s="35"/>
      <c r="J356" s="35">
        <v>4.5</v>
      </c>
      <c r="K356" s="35">
        <v>587.70000000000005</v>
      </c>
      <c r="L356" s="35"/>
      <c r="M356" s="35"/>
      <c r="N356" s="35"/>
      <c r="O356" s="35"/>
      <c r="P356" s="35"/>
      <c r="Q356" s="35"/>
      <c r="R356" s="35">
        <v>1</v>
      </c>
      <c r="S356" s="35">
        <v>776</v>
      </c>
      <c r="T356" s="35">
        <v>6</v>
      </c>
      <c r="U356" s="35">
        <v>7001.72</v>
      </c>
      <c r="V356" s="35"/>
      <c r="W356" s="35"/>
      <c r="X356" s="35">
        <v>2.5</v>
      </c>
      <c r="Y356" s="35">
        <v>782.32</v>
      </c>
      <c r="Z356" s="35"/>
      <c r="AA356" s="35"/>
      <c r="AB356" s="35"/>
      <c r="AC356" s="35"/>
      <c r="AD356" s="35"/>
      <c r="AE356" s="35"/>
      <c r="AF356" s="35"/>
      <c r="AG356" s="35"/>
      <c r="AH356" s="35"/>
      <c r="AI356" s="35"/>
      <c r="AJ356" s="35">
        <v>18</v>
      </c>
      <c r="AK356" s="35">
        <v>1422</v>
      </c>
      <c r="AL356" s="35"/>
      <c r="AM356" s="35"/>
      <c r="AN356" s="36">
        <v>1</v>
      </c>
      <c r="AO356" s="36">
        <v>432.77</v>
      </c>
      <c r="AP356" s="36"/>
      <c r="AQ356" s="35"/>
      <c r="AR356" s="35"/>
      <c r="AS356" s="35"/>
      <c r="AT356" s="35"/>
      <c r="AU356" s="35"/>
    </row>
    <row r="357" spans="1:47" s="7" customFormat="1" ht="15.75" customHeight="1" x14ac:dyDescent="0.35">
      <c r="A357" s="12" t="s">
        <v>223</v>
      </c>
      <c r="B357" s="33">
        <v>42868.52</v>
      </c>
      <c r="C357" s="35">
        <f t="shared" si="5"/>
        <v>37826.660000000003</v>
      </c>
      <c r="D357" s="35"/>
      <c r="E357" s="35"/>
      <c r="F357" s="35"/>
      <c r="G357" s="35"/>
      <c r="H357" s="35"/>
      <c r="I357" s="35"/>
      <c r="J357" s="35">
        <v>6</v>
      </c>
      <c r="K357" s="35">
        <v>700.35</v>
      </c>
      <c r="L357" s="35"/>
      <c r="M357" s="35"/>
      <c r="N357" s="35"/>
      <c r="O357" s="35"/>
      <c r="P357" s="35"/>
      <c r="Q357" s="35"/>
      <c r="R357" s="35"/>
      <c r="S357" s="35"/>
      <c r="T357" s="35">
        <v>11</v>
      </c>
      <c r="U357" s="35">
        <f>5425.38+7600</f>
        <v>13025.380000000001</v>
      </c>
      <c r="V357" s="35"/>
      <c r="W357" s="35"/>
      <c r="X357" s="35"/>
      <c r="Y357" s="35"/>
      <c r="Z357" s="35"/>
      <c r="AA357" s="35"/>
      <c r="AB357" s="35"/>
      <c r="AC357" s="35"/>
      <c r="AD357" s="35"/>
      <c r="AE357" s="35"/>
      <c r="AF357" s="35"/>
      <c r="AG357" s="35"/>
      <c r="AH357" s="35"/>
      <c r="AI357" s="35"/>
      <c r="AJ357" s="35"/>
      <c r="AK357" s="35"/>
      <c r="AL357" s="35"/>
      <c r="AM357" s="35"/>
      <c r="AN357" s="36"/>
      <c r="AO357" s="36"/>
      <c r="AP357" s="36"/>
      <c r="AQ357" s="35"/>
      <c r="AR357" s="35">
        <v>4.42</v>
      </c>
      <c r="AS357" s="35">
        <v>24100.93</v>
      </c>
      <c r="AT357" s="35"/>
      <c r="AU357" s="35"/>
    </row>
    <row r="358" spans="1:47" s="7" customFormat="1" ht="15.75" customHeight="1" x14ac:dyDescent="0.35">
      <c r="A358" s="12" t="s">
        <v>224</v>
      </c>
      <c r="B358" s="33">
        <v>181993.52</v>
      </c>
      <c r="C358" s="35">
        <f t="shared" si="5"/>
        <v>26305.720000000005</v>
      </c>
      <c r="D358" s="35">
        <v>24</v>
      </c>
      <c r="E358" s="35">
        <v>4565.8900000000003</v>
      </c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>
        <v>3</v>
      </c>
      <c r="S358" s="35">
        <f>383.03+608</f>
        <v>991.03</v>
      </c>
      <c r="T358" s="35"/>
      <c r="U358" s="35"/>
      <c r="V358" s="35"/>
      <c r="W358" s="35"/>
      <c r="X358" s="35"/>
      <c r="Y358" s="35"/>
      <c r="Z358" s="35"/>
      <c r="AA358" s="35"/>
      <c r="AB358" s="35"/>
      <c r="AC358" s="35"/>
      <c r="AD358" s="35">
        <v>5</v>
      </c>
      <c r="AE358" s="35">
        <f>536.29+16893.27</f>
        <v>17429.560000000001</v>
      </c>
      <c r="AF358" s="35"/>
      <c r="AG358" s="35"/>
      <c r="AH358" s="35">
        <v>2</v>
      </c>
      <c r="AI358" s="35">
        <v>1060.9000000000001</v>
      </c>
      <c r="AJ358" s="35">
        <v>10</v>
      </c>
      <c r="AK358" s="35">
        <v>2258.34</v>
      </c>
      <c r="AL358" s="35"/>
      <c r="AM358" s="35"/>
      <c r="AN358" s="36"/>
      <c r="AO358" s="36"/>
      <c r="AP358" s="36"/>
      <c r="AQ358" s="35"/>
      <c r="AR358" s="35"/>
      <c r="AS358" s="35"/>
      <c r="AT358" s="35"/>
      <c r="AU358" s="35"/>
    </row>
    <row r="359" spans="1:47" s="7" customFormat="1" ht="15.75" customHeight="1" x14ac:dyDescent="0.35">
      <c r="A359" s="12" t="s">
        <v>225</v>
      </c>
      <c r="B359" s="33">
        <v>50746.91</v>
      </c>
      <c r="C359" s="35">
        <f t="shared" si="5"/>
        <v>16909.310000000001</v>
      </c>
      <c r="D359" s="35"/>
      <c r="E359" s="35"/>
      <c r="F359" s="35"/>
      <c r="G359" s="35"/>
      <c r="H359" s="35"/>
      <c r="I359" s="35"/>
      <c r="J359" s="35">
        <v>5</v>
      </c>
      <c r="K359" s="35">
        <v>700.35</v>
      </c>
      <c r="L359" s="35"/>
      <c r="M359" s="35"/>
      <c r="N359" s="35"/>
      <c r="O359" s="35"/>
      <c r="P359" s="35">
        <v>8</v>
      </c>
      <c r="Q359" s="35">
        <v>3802.37</v>
      </c>
      <c r="R359" s="35">
        <v>1</v>
      </c>
      <c r="S359" s="35">
        <v>776</v>
      </c>
      <c r="T359" s="35">
        <v>12</v>
      </c>
      <c r="U359" s="35">
        <v>11402</v>
      </c>
      <c r="V359" s="35"/>
      <c r="W359" s="35"/>
      <c r="X359" s="35"/>
      <c r="Y359" s="35"/>
      <c r="Z359" s="35"/>
      <c r="AA359" s="35"/>
      <c r="AB359" s="35"/>
      <c r="AC359" s="35"/>
      <c r="AD359" s="35"/>
      <c r="AE359" s="35"/>
      <c r="AF359" s="35"/>
      <c r="AG359" s="35"/>
      <c r="AH359" s="35"/>
      <c r="AI359" s="35"/>
      <c r="AJ359" s="35"/>
      <c r="AK359" s="35"/>
      <c r="AL359" s="35">
        <v>2</v>
      </c>
      <c r="AM359" s="35">
        <v>228.59</v>
      </c>
      <c r="AN359" s="36"/>
      <c r="AO359" s="36"/>
      <c r="AP359" s="36"/>
      <c r="AQ359" s="35"/>
      <c r="AR359" s="35"/>
      <c r="AS359" s="35"/>
      <c r="AT359" s="35"/>
      <c r="AU359" s="35"/>
    </row>
    <row r="360" spans="1:47" s="7" customFormat="1" ht="15.75" customHeight="1" x14ac:dyDescent="0.35">
      <c r="A360" s="12" t="s">
        <v>226</v>
      </c>
      <c r="B360" s="33">
        <v>32584.639999999999</v>
      </c>
      <c r="C360" s="35">
        <f t="shared" si="5"/>
        <v>3927.77</v>
      </c>
      <c r="D360" s="35"/>
      <c r="E360" s="35"/>
      <c r="F360" s="35"/>
      <c r="G360" s="35"/>
      <c r="H360" s="35"/>
      <c r="I360" s="35"/>
      <c r="J360" s="35">
        <v>8</v>
      </c>
      <c r="K360" s="35">
        <v>600.77</v>
      </c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  <c r="AA360" s="35"/>
      <c r="AB360" s="35"/>
      <c r="AC360" s="35"/>
      <c r="AD360" s="35">
        <v>3</v>
      </c>
      <c r="AE360" s="35">
        <f>743+2584</f>
        <v>3327</v>
      </c>
      <c r="AF360" s="35"/>
      <c r="AG360" s="35"/>
      <c r="AH360" s="35"/>
      <c r="AI360" s="35"/>
      <c r="AJ360" s="35"/>
      <c r="AK360" s="35"/>
      <c r="AL360" s="35"/>
      <c r="AM360" s="35"/>
      <c r="AN360" s="36"/>
      <c r="AO360" s="36"/>
      <c r="AP360" s="36"/>
      <c r="AQ360" s="35"/>
      <c r="AR360" s="35"/>
      <c r="AS360" s="35"/>
      <c r="AT360" s="35"/>
      <c r="AU360" s="35"/>
    </row>
    <row r="361" spans="1:47" s="7" customFormat="1" ht="15.75" customHeight="1" x14ac:dyDescent="0.35">
      <c r="A361" s="12" t="s">
        <v>227</v>
      </c>
      <c r="B361" s="33" t="s">
        <v>402</v>
      </c>
      <c r="C361" s="35">
        <f t="shared" si="5"/>
        <v>77609.289999999994</v>
      </c>
      <c r="D361" s="35"/>
      <c r="E361" s="35"/>
      <c r="F361" s="35"/>
      <c r="G361" s="35"/>
      <c r="H361" s="35"/>
      <c r="I361" s="35"/>
      <c r="J361" s="35">
        <v>7</v>
      </c>
      <c r="K361" s="35">
        <v>525.67999999999995</v>
      </c>
      <c r="L361" s="35"/>
      <c r="M361" s="35"/>
      <c r="N361" s="35"/>
      <c r="O361" s="35"/>
      <c r="P361" s="35"/>
      <c r="Q361" s="35"/>
      <c r="R361" s="35">
        <v>1</v>
      </c>
      <c r="S361" s="35">
        <v>376.48</v>
      </c>
      <c r="T361" s="35">
        <v>10</v>
      </c>
      <c r="U361" s="35">
        <v>11864.8</v>
      </c>
      <c r="V361" s="35"/>
      <c r="W361" s="35"/>
      <c r="X361" s="35"/>
      <c r="Y361" s="35"/>
      <c r="Z361" s="35"/>
      <c r="AA361" s="35"/>
      <c r="AB361" s="35"/>
      <c r="AC361" s="35"/>
      <c r="AD361" s="35">
        <v>6</v>
      </c>
      <c r="AE361" s="35">
        <v>4552</v>
      </c>
      <c r="AF361" s="35"/>
      <c r="AG361" s="35"/>
      <c r="AH361" s="35">
        <v>1</v>
      </c>
      <c r="AI361" s="35">
        <v>530.46</v>
      </c>
      <c r="AJ361" s="35">
        <v>75</v>
      </c>
      <c r="AK361" s="35">
        <f>6565.9+1721.3</f>
        <v>8287.1999999999989</v>
      </c>
      <c r="AL361" s="35">
        <v>12</v>
      </c>
      <c r="AM361" s="35">
        <f>3781.86+1759.36</f>
        <v>5541.22</v>
      </c>
      <c r="AN361" s="36"/>
      <c r="AO361" s="36"/>
      <c r="AP361" s="36"/>
      <c r="AQ361" s="35"/>
      <c r="AR361" s="35">
        <v>8.42</v>
      </c>
      <c r="AS361" s="35">
        <v>45931.45</v>
      </c>
      <c r="AT361" s="35"/>
      <c r="AU361" s="35"/>
    </row>
    <row r="362" spans="1:47" s="7" customFormat="1" ht="15.75" customHeight="1" x14ac:dyDescent="0.35">
      <c r="A362" s="12" t="s">
        <v>228</v>
      </c>
      <c r="B362" s="33">
        <v>188220.6</v>
      </c>
      <c r="C362" s="35">
        <f t="shared" si="5"/>
        <v>175997.19799999997</v>
      </c>
      <c r="D362" s="35"/>
      <c r="E362" s="35"/>
      <c r="F362" s="35"/>
      <c r="G362" s="35"/>
      <c r="H362" s="35"/>
      <c r="I362" s="35"/>
      <c r="J362" s="35">
        <v>6</v>
      </c>
      <c r="K362" s="35">
        <v>600.77</v>
      </c>
      <c r="L362" s="35">
        <v>385</v>
      </c>
      <c r="M362" s="35">
        <v>166067</v>
      </c>
      <c r="N362" s="35"/>
      <c r="O362" s="35"/>
      <c r="P362" s="35">
        <v>3</v>
      </c>
      <c r="Q362" s="35">
        <v>1820.4</v>
      </c>
      <c r="R362" s="35"/>
      <c r="S362" s="35"/>
      <c r="T362" s="35"/>
      <c r="U362" s="35"/>
      <c r="V362" s="35"/>
      <c r="W362" s="35"/>
      <c r="X362" s="35"/>
      <c r="Y362" s="35"/>
      <c r="Z362" s="35"/>
      <c r="AA362" s="35"/>
      <c r="AB362" s="35"/>
      <c r="AC362" s="35"/>
      <c r="AD362" s="35"/>
      <c r="AE362" s="35"/>
      <c r="AF362" s="35"/>
      <c r="AG362" s="35"/>
      <c r="AH362" s="35"/>
      <c r="AI362" s="35"/>
      <c r="AJ362" s="35">
        <v>8</v>
      </c>
      <c r="AK362" s="35">
        <v>918.02800000000002</v>
      </c>
      <c r="AL362" s="35">
        <v>16</v>
      </c>
      <c r="AM362" s="35">
        <f>1097.9+4627.58</f>
        <v>5725.48</v>
      </c>
      <c r="AN362" s="36">
        <v>2</v>
      </c>
      <c r="AO362" s="36">
        <v>865.52</v>
      </c>
      <c r="AP362" s="36"/>
      <c r="AQ362" s="35"/>
      <c r="AR362" s="35"/>
      <c r="AS362" s="35"/>
      <c r="AT362" s="35"/>
      <c r="AU362" s="35"/>
    </row>
    <row r="363" spans="1:47" s="7" customFormat="1" ht="15.75" customHeight="1" x14ac:dyDescent="0.35">
      <c r="A363" s="12" t="s">
        <v>229</v>
      </c>
      <c r="B363" s="33">
        <v>105685.92</v>
      </c>
      <c r="C363" s="35">
        <f t="shared" si="5"/>
        <v>54899.49</v>
      </c>
      <c r="D363" s="35"/>
      <c r="E363" s="35"/>
      <c r="F363" s="35"/>
      <c r="G363" s="35"/>
      <c r="H363" s="35"/>
      <c r="I363" s="35"/>
      <c r="J363" s="35">
        <v>6</v>
      </c>
      <c r="K363" s="35">
        <v>700.35</v>
      </c>
      <c r="L363" s="35"/>
      <c r="M363" s="35"/>
      <c r="N363" s="35"/>
      <c r="O363" s="35"/>
      <c r="P363" s="35">
        <v>12</v>
      </c>
      <c r="Q363" s="35">
        <f>7326.17+3797.24</f>
        <v>11123.41</v>
      </c>
      <c r="R363" s="35"/>
      <c r="S363" s="35"/>
      <c r="T363" s="35">
        <v>4</v>
      </c>
      <c r="U363" s="35">
        <v>31309.759999999998</v>
      </c>
      <c r="V363" s="35"/>
      <c r="W363" s="35"/>
      <c r="X363" s="35"/>
      <c r="Y363" s="35"/>
      <c r="Z363" s="35"/>
      <c r="AA363" s="35"/>
      <c r="AB363" s="35"/>
      <c r="AC363" s="35"/>
      <c r="AD363" s="35"/>
      <c r="AE363" s="35"/>
      <c r="AF363" s="35"/>
      <c r="AG363" s="35"/>
      <c r="AH363" s="35"/>
      <c r="AI363" s="35"/>
      <c r="AJ363" s="35">
        <v>10</v>
      </c>
      <c r="AK363" s="35">
        <v>11159</v>
      </c>
      <c r="AL363" s="35">
        <v>1</v>
      </c>
      <c r="AM363" s="35">
        <v>606.97</v>
      </c>
      <c r="AN363" s="36"/>
      <c r="AO363" s="36"/>
      <c r="AP363" s="36"/>
      <c r="AQ363" s="35"/>
      <c r="AR363" s="35"/>
      <c r="AS363" s="35"/>
      <c r="AT363" s="35"/>
      <c r="AU363" s="35"/>
    </row>
    <row r="364" spans="1:47" s="7" customFormat="1" ht="15.75" customHeight="1" x14ac:dyDescent="0.35">
      <c r="A364" s="50" t="s">
        <v>230</v>
      </c>
      <c r="B364" s="51">
        <v>341912.16</v>
      </c>
      <c r="C364" s="35">
        <f t="shared" si="5"/>
        <v>80237.055000000008</v>
      </c>
      <c r="D364" s="41"/>
      <c r="E364" s="41"/>
      <c r="F364" s="41"/>
      <c r="G364" s="41"/>
      <c r="H364" s="41"/>
      <c r="I364" s="41"/>
      <c r="J364" s="41">
        <f>18+7</f>
        <v>25</v>
      </c>
      <c r="K364" s="41">
        <f>1851.29+4965.66</f>
        <v>6816.95</v>
      </c>
      <c r="L364" s="41"/>
      <c r="M364" s="41"/>
      <c r="N364" s="41"/>
      <c r="O364" s="41"/>
      <c r="P364" s="41">
        <v>21</v>
      </c>
      <c r="Q364" s="41">
        <f>565.22+7682.98</f>
        <v>8248.1999999999989</v>
      </c>
      <c r="R364" s="41">
        <v>1</v>
      </c>
      <c r="S364" s="41">
        <v>366.98</v>
      </c>
      <c r="T364" s="41">
        <v>2</v>
      </c>
      <c r="U364" s="41">
        <v>2372.9699999999998</v>
      </c>
      <c r="V364" s="41"/>
      <c r="W364" s="41"/>
      <c r="X364" s="41">
        <v>5.5</v>
      </c>
      <c r="Y364" s="41">
        <v>1721.0889999999999</v>
      </c>
      <c r="Z364" s="41">
        <v>21.08</v>
      </c>
      <c r="AA364" s="41">
        <f>976.23+13994.42</f>
        <v>14970.65</v>
      </c>
      <c r="AB364" s="41"/>
      <c r="AC364" s="41"/>
      <c r="AD364" s="41">
        <v>82</v>
      </c>
      <c r="AE364" s="41">
        <f>7729.51+6280.33+22160.4</f>
        <v>36170.240000000005</v>
      </c>
      <c r="AF364" s="41"/>
      <c r="AG364" s="41"/>
      <c r="AH364" s="41">
        <v>5</v>
      </c>
      <c r="AI364" s="41">
        <f>1229.8+940.39</f>
        <v>2170.19</v>
      </c>
      <c r="AJ364" s="41">
        <v>5</v>
      </c>
      <c r="AK364" s="41">
        <f>239.21+1057.73+219</f>
        <v>1515.94</v>
      </c>
      <c r="AL364" s="41"/>
      <c r="AM364" s="41"/>
      <c r="AN364" s="42">
        <v>3</v>
      </c>
      <c r="AO364" s="42">
        <v>5883.8459999999995</v>
      </c>
      <c r="AP364" s="42"/>
      <c r="AQ364" s="41"/>
      <c r="AR364" s="41"/>
      <c r="AS364" s="41"/>
      <c r="AT364" s="41"/>
      <c r="AU364" s="41"/>
    </row>
    <row r="365" spans="1:47" s="7" customFormat="1" ht="15.75" customHeight="1" x14ac:dyDescent="0.35">
      <c r="A365" s="13" t="s">
        <v>231</v>
      </c>
      <c r="B365" s="33">
        <v>254544.6</v>
      </c>
      <c r="C365" s="35">
        <f t="shared" si="5"/>
        <v>28574.950000000004</v>
      </c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>
        <v>6</v>
      </c>
      <c r="Q365" s="35">
        <v>1839.54</v>
      </c>
      <c r="R365" s="35"/>
      <c r="S365" s="35"/>
      <c r="T365" s="35"/>
      <c r="U365" s="35"/>
      <c r="V365" s="35"/>
      <c r="W365" s="35"/>
      <c r="X365" s="35"/>
      <c r="Y365" s="35"/>
      <c r="Z365" s="35"/>
      <c r="AA365" s="35"/>
      <c r="AB365" s="35"/>
      <c r="AC365" s="35"/>
      <c r="AD365" s="35">
        <v>9</v>
      </c>
      <c r="AE365" s="35">
        <f>10805.22+13467+1136.47</f>
        <v>25408.690000000002</v>
      </c>
      <c r="AF365" s="35"/>
      <c r="AG365" s="35"/>
      <c r="AH365" s="35">
        <v>3</v>
      </c>
      <c r="AI365" s="35">
        <v>1326.72</v>
      </c>
      <c r="AJ365" s="35"/>
      <c r="AK365" s="35"/>
      <c r="AL365" s="35"/>
      <c r="AM365" s="35"/>
      <c r="AN365" s="36"/>
      <c r="AO365" s="36"/>
      <c r="AP365" s="36"/>
      <c r="AQ365" s="35"/>
      <c r="AR365" s="35"/>
      <c r="AS365" s="35"/>
      <c r="AT365" s="35"/>
      <c r="AU365" s="35"/>
    </row>
    <row r="366" spans="1:47" s="7" customFormat="1" ht="15.75" customHeight="1" x14ac:dyDescent="0.35">
      <c r="A366" s="13" t="s">
        <v>232</v>
      </c>
      <c r="B366" s="33">
        <v>319558.68</v>
      </c>
      <c r="C366" s="35">
        <f t="shared" si="5"/>
        <v>146236.63</v>
      </c>
      <c r="D366" s="35">
        <v>40</v>
      </c>
      <c r="E366" s="35">
        <v>13503.65</v>
      </c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>
        <v>10</v>
      </c>
      <c r="Q366" s="35">
        <f>3130.2+1503</f>
        <v>4633.2</v>
      </c>
      <c r="R366" s="35"/>
      <c r="S366" s="35"/>
      <c r="T366" s="35">
        <v>8</v>
      </c>
      <c r="U366" s="35">
        <v>9335.6299999999992</v>
      </c>
      <c r="V366" s="35"/>
      <c r="W366" s="35"/>
      <c r="X366" s="35"/>
      <c r="Y366" s="35"/>
      <c r="Z366" s="35"/>
      <c r="AA366" s="35"/>
      <c r="AB366" s="35"/>
      <c r="AC366" s="35"/>
      <c r="AD366" s="35">
        <f>35+7+59</f>
        <v>101</v>
      </c>
      <c r="AE366" s="35">
        <f>14852.83+5638.37+41131.4+23795.7</f>
        <v>85418.3</v>
      </c>
      <c r="AF366" s="35"/>
      <c r="AG366" s="35"/>
      <c r="AH366" s="35">
        <f>14+17</f>
        <v>31</v>
      </c>
      <c r="AI366" s="35">
        <f>1271.6+22870.4+5877.48</f>
        <v>30019.48</v>
      </c>
      <c r="AJ366" s="35">
        <v>16</v>
      </c>
      <c r="AK366" s="35">
        <f>1159.81+377</f>
        <v>1536.81</v>
      </c>
      <c r="AL366" s="35">
        <v>2</v>
      </c>
      <c r="AM366" s="35">
        <v>1789.56</v>
      </c>
      <c r="AN366" s="36"/>
      <c r="AO366" s="36"/>
      <c r="AP366" s="36"/>
      <c r="AQ366" s="35"/>
      <c r="AR366" s="35"/>
      <c r="AS366" s="35"/>
      <c r="AT366" s="35"/>
      <c r="AU366" s="35"/>
    </row>
    <row r="367" spans="1:47" s="7" customFormat="1" ht="15.75" customHeight="1" x14ac:dyDescent="0.35">
      <c r="A367" s="13" t="s">
        <v>233</v>
      </c>
      <c r="B367" s="33">
        <v>249954.24</v>
      </c>
      <c r="C367" s="35">
        <f t="shared" si="5"/>
        <v>7945.11</v>
      </c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>
        <v>5</v>
      </c>
      <c r="Q367" s="35">
        <v>2797.27</v>
      </c>
      <c r="R367" s="35">
        <v>5</v>
      </c>
      <c r="S367" s="35">
        <f>1129.4+376.48+301</f>
        <v>1806.88</v>
      </c>
      <c r="T367" s="35"/>
      <c r="U367" s="35"/>
      <c r="V367" s="35"/>
      <c r="W367" s="35"/>
      <c r="X367" s="35"/>
      <c r="Y367" s="35"/>
      <c r="Z367" s="35"/>
      <c r="AA367" s="35"/>
      <c r="AB367" s="35"/>
      <c r="AC367" s="35"/>
      <c r="AD367" s="35">
        <v>6</v>
      </c>
      <c r="AE367" s="35">
        <v>1884</v>
      </c>
      <c r="AF367" s="35"/>
      <c r="AG367" s="35"/>
      <c r="AH367" s="35">
        <v>3</v>
      </c>
      <c r="AI367" s="35">
        <f>405.96+692</f>
        <v>1097.96</v>
      </c>
      <c r="AJ367" s="35">
        <v>3</v>
      </c>
      <c r="AK367" s="35">
        <v>359</v>
      </c>
      <c r="AL367" s="35"/>
      <c r="AM367" s="35"/>
      <c r="AN367" s="36"/>
      <c r="AO367" s="36"/>
      <c r="AP367" s="36"/>
      <c r="AQ367" s="35"/>
      <c r="AR367" s="35"/>
      <c r="AS367" s="35"/>
      <c r="AT367" s="35"/>
      <c r="AU367" s="35"/>
    </row>
    <row r="368" spans="1:47" s="7" customFormat="1" ht="15.75" customHeight="1" x14ac:dyDescent="0.35">
      <c r="A368" s="13" t="s">
        <v>234</v>
      </c>
      <c r="B368" s="33">
        <v>88227.839999999997</v>
      </c>
      <c r="C368" s="35">
        <f t="shared" si="5"/>
        <v>976.26</v>
      </c>
      <c r="D368" s="35"/>
      <c r="E368" s="35"/>
      <c r="F368" s="35"/>
      <c r="G368" s="35"/>
      <c r="H368" s="35"/>
      <c r="I368" s="35"/>
      <c r="J368" s="35">
        <v>13</v>
      </c>
      <c r="K368" s="35">
        <v>976.26</v>
      </c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  <c r="AA368" s="35"/>
      <c r="AB368" s="35"/>
      <c r="AC368" s="35"/>
      <c r="AD368" s="35"/>
      <c r="AE368" s="35"/>
      <c r="AF368" s="35"/>
      <c r="AG368" s="35"/>
      <c r="AH368" s="35"/>
      <c r="AI368" s="35"/>
      <c r="AJ368" s="35"/>
      <c r="AK368" s="35"/>
      <c r="AL368" s="35"/>
      <c r="AM368" s="35"/>
      <c r="AN368" s="36"/>
      <c r="AO368" s="36"/>
      <c r="AP368" s="36"/>
      <c r="AQ368" s="35"/>
      <c r="AR368" s="35"/>
      <c r="AS368" s="35"/>
      <c r="AT368" s="35"/>
      <c r="AU368" s="35"/>
    </row>
    <row r="369" spans="1:47" s="7" customFormat="1" ht="15.75" customHeight="1" x14ac:dyDescent="0.35">
      <c r="A369" s="13" t="s">
        <v>235</v>
      </c>
      <c r="B369" s="33">
        <v>488217.24</v>
      </c>
      <c r="C369" s="35">
        <f t="shared" si="5"/>
        <v>139215.26</v>
      </c>
      <c r="D369" s="35"/>
      <c r="E369" s="35"/>
      <c r="F369" s="35"/>
      <c r="G369" s="35"/>
      <c r="H369" s="35"/>
      <c r="I369" s="35"/>
      <c r="J369" s="35">
        <v>12</v>
      </c>
      <c r="K369" s="35">
        <v>1900.25</v>
      </c>
      <c r="L369" s="35"/>
      <c r="M369" s="35"/>
      <c r="N369" s="35"/>
      <c r="O369" s="35"/>
      <c r="P369" s="35">
        <f>47+7</f>
        <v>54</v>
      </c>
      <c r="Q369" s="35">
        <f>3488.8+5701.64+5888.94+3357.82+17542.63</f>
        <v>35979.83</v>
      </c>
      <c r="R369" s="35">
        <v>3</v>
      </c>
      <c r="S369" s="35">
        <v>22602.16</v>
      </c>
      <c r="T369" s="35">
        <v>10</v>
      </c>
      <c r="U369" s="35">
        <v>1900.32</v>
      </c>
      <c r="V369" s="35"/>
      <c r="W369" s="35"/>
      <c r="X369" s="35">
        <v>18.399999999999999</v>
      </c>
      <c r="Y369" s="35">
        <v>5055.12</v>
      </c>
      <c r="Z369" s="35"/>
      <c r="AA369" s="35"/>
      <c r="AB369" s="35"/>
      <c r="AC369" s="35"/>
      <c r="AD369" s="35">
        <v>32</v>
      </c>
      <c r="AE369" s="35">
        <f>2683.91+2255.35+9444.31</f>
        <v>14383.57</v>
      </c>
      <c r="AF369" s="35"/>
      <c r="AG369" s="35"/>
      <c r="AH369" s="35">
        <v>5</v>
      </c>
      <c r="AI369" s="35">
        <f>525.96+4796.5+1382.96</f>
        <v>6705.42</v>
      </c>
      <c r="AJ369" s="35"/>
      <c r="AK369" s="35"/>
      <c r="AL369" s="35"/>
      <c r="AM369" s="35"/>
      <c r="AN369" s="36">
        <v>1</v>
      </c>
      <c r="AO369" s="36">
        <v>432.77</v>
      </c>
      <c r="AP369" s="36"/>
      <c r="AQ369" s="35">
        <v>50255.82</v>
      </c>
      <c r="AR369" s="35"/>
      <c r="AS369" s="35"/>
      <c r="AT369" s="35"/>
      <c r="AU369" s="35"/>
    </row>
    <row r="370" spans="1:47" s="7" customFormat="1" ht="15.75" customHeight="1" x14ac:dyDescent="0.35">
      <c r="A370" s="13" t="s">
        <v>236</v>
      </c>
      <c r="B370" s="33">
        <v>95098.8</v>
      </c>
      <c r="C370" s="35">
        <f t="shared" si="5"/>
        <v>24656.100000000002</v>
      </c>
      <c r="D370" s="35"/>
      <c r="E370" s="35"/>
      <c r="F370" s="35"/>
      <c r="G370" s="35"/>
      <c r="H370" s="35"/>
      <c r="I370" s="35"/>
      <c r="J370" s="35">
        <v>33</v>
      </c>
      <c r="K370" s="35">
        <f>9554.81+229</f>
        <v>9783.81</v>
      </c>
      <c r="L370" s="35"/>
      <c r="M370" s="35"/>
      <c r="N370" s="35"/>
      <c r="O370" s="35"/>
      <c r="P370" s="35">
        <v>10.8</v>
      </c>
      <c r="Q370" s="35">
        <v>6819.02</v>
      </c>
      <c r="R370" s="35">
        <v>2</v>
      </c>
      <c r="S370" s="35">
        <f>383.03+366.98</f>
        <v>750.01</v>
      </c>
      <c r="T370" s="35"/>
      <c r="U370" s="35"/>
      <c r="V370" s="35"/>
      <c r="W370" s="35"/>
      <c r="X370" s="35"/>
      <c r="Y370" s="35"/>
      <c r="Z370" s="35">
        <v>2</v>
      </c>
      <c r="AA370" s="35">
        <v>5242</v>
      </c>
      <c r="AB370" s="35"/>
      <c r="AC370" s="35"/>
      <c r="AD370" s="35">
        <v>2</v>
      </c>
      <c r="AE370" s="35">
        <v>1628.49</v>
      </c>
      <c r="AF370" s="35"/>
      <c r="AG370" s="35"/>
      <c r="AH370" s="35"/>
      <c r="AI370" s="35"/>
      <c r="AJ370" s="35"/>
      <c r="AK370" s="35"/>
      <c r="AL370" s="35"/>
      <c r="AM370" s="35"/>
      <c r="AN370" s="36">
        <v>2</v>
      </c>
      <c r="AO370" s="36">
        <v>432.77</v>
      </c>
      <c r="AP370" s="36"/>
      <c r="AQ370" s="35"/>
      <c r="AR370" s="35"/>
      <c r="AS370" s="35"/>
      <c r="AT370" s="35"/>
      <c r="AU370" s="35"/>
    </row>
    <row r="371" spans="1:47" s="7" customFormat="1" ht="15.75" customHeight="1" x14ac:dyDescent="0.35">
      <c r="A371" s="13" t="s">
        <v>237</v>
      </c>
      <c r="B371" s="33">
        <v>112527.24</v>
      </c>
      <c r="C371" s="35">
        <f t="shared" si="5"/>
        <v>296604.36</v>
      </c>
      <c r="D371" s="35"/>
      <c r="E371" s="35"/>
      <c r="F371" s="35"/>
      <c r="G371" s="35"/>
      <c r="H371" s="35"/>
      <c r="I371" s="35"/>
      <c r="J371" s="35">
        <v>30</v>
      </c>
      <c r="K371" s="35">
        <v>9451.34</v>
      </c>
      <c r="L371" s="35">
        <v>250</v>
      </c>
      <c r="M371" s="35">
        <v>195791</v>
      </c>
      <c r="N371" s="35"/>
      <c r="O371" s="35"/>
      <c r="P371" s="35">
        <v>3</v>
      </c>
      <c r="Q371" s="35">
        <f>1366.37+378.544+994</f>
        <v>2738.9139999999998</v>
      </c>
      <c r="R371" s="35"/>
      <c r="S371" s="35"/>
      <c r="T371" s="35">
        <v>3</v>
      </c>
      <c r="U371" s="35">
        <f>2733.31+1900.32</f>
        <v>4633.63</v>
      </c>
      <c r="V371" s="35"/>
      <c r="W371" s="35"/>
      <c r="X371" s="35">
        <v>27</v>
      </c>
      <c r="Y371" s="35">
        <f>10418.8+3361.68</f>
        <v>13780.48</v>
      </c>
      <c r="Z371" s="35"/>
      <c r="AA371" s="35"/>
      <c r="AB371" s="35"/>
      <c r="AC371" s="35"/>
      <c r="AD371" s="35">
        <v>24</v>
      </c>
      <c r="AE371" s="35">
        <f>6605.96+4351.38+591.935</f>
        <v>11549.275</v>
      </c>
      <c r="AF371" s="35"/>
      <c r="AG371" s="35"/>
      <c r="AH371" s="35">
        <v>2</v>
      </c>
      <c r="AI371" s="35">
        <v>5915.4</v>
      </c>
      <c r="AJ371" s="35">
        <v>10</v>
      </c>
      <c r="AK371" s="35">
        <f>1633.63+1094</f>
        <v>2727.63</v>
      </c>
      <c r="AL371" s="35">
        <v>4</v>
      </c>
      <c r="AM371" s="35">
        <v>5569.63</v>
      </c>
      <c r="AN371" s="36">
        <v>4</v>
      </c>
      <c r="AO371" s="36">
        <f>1128.06+432.77</f>
        <v>1560.83</v>
      </c>
      <c r="AP371" s="36"/>
      <c r="AQ371" s="35">
        <v>42886.231</v>
      </c>
      <c r="AR371" s="35"/>
      <c r="AS371" s="35"/>
      <c r="AT371" s="35"/>
      <c r="AU371" s="35"/>
    </row>
    <row r="372" spans="1:47" s="7" customFormat="1" ht="15.75" customHeight="1" x14ac:dyDescent="0.35">
      <c r="A372" s="13" t="s">
        <v>238</v>
      </c>
      <c r="B372" s="33">
        <v>186054.96</v>
      </c>
      <c r="C372" s="35">
        <f t="shared" si="5"/>
        <v>49495.85</v>
      </c>
      <c r="D372" s="35"/>
      <c r="E372" s="35"/>
      <c r="F372" s="35"/>
      <c r="G372" s="35"/>
      <c r="H372" s="35"/>
      <c r="I372" s="35"/>
      <c r="J372" s="35">
        <v>4.5</v>
      </c>
      <c r="K372" s="35">
        <v>587.70000000000005</v>
      </c>
      <c r="L372" s="35"/>
      <c r="M372" s="35"/>
      <c r="N372" s="35"/>
      <c r="O372" s="35"/>
      <c r="P372" s="35">
        <v>3</v>
      </c>
      <c r="Q372" s="35">
        <v>1938</v>
      </c>
      <c r="R372" s="35">
        <v>6</v>
      </c>
      <c r="S372" s="35">
        <f>734.22+5434.74</f>
        <v>6168.96</v>
      </c>
      <c r="T372" s="35"/>
      <c r="U372" s="35"/>
      <c r="V372" s="35"/>
      <c r="W372" s="35"/>
      <c r="X372" s="35">
        <v>7</v>
      </c>
      <c r="Y372" s="35">
        <v>1447.33</v>
      </c>
      <c r="Z372" s="35"/>
      <c r="AA372" s="35"/>
      <c r="AB372" s="35"/>
      <c r="AC372" s="35"/>
      <c r="AD372" s="35">
        <f>16+21</f>
        <v>37</v>
      </c>
      <c r="AE372" s="35">
        <f>10837.04+3639.7+4616.45</f>
        <v>19093.190000000002</v>
      </c>
      <c r="AF372" s="35"/>
      <c r="AG372" s="35"/>
      <c r="AH372" s="35">
        <v>9</v>
      </c>
      <c r="AI372" s="35">
        <f>3693.71+691.48</f>
        <v>4385.1900000000005</v>
      </c>
      <c r="AJ372" s="35">
        <v>20</v>
      </c>
      <c r="AK372" s="35">
        <v>4507.21</v>
      </c>
      <c r="AL372" s="35">
        <v>18</v>
      </c>
      <c r="AM372" s="35">
        <v>10056.5</v>
      </c>
      <c r="AN372" s="36">
        <v>1</v>
      </c>
      <c r="AO372" s="36">
        <f>432.77+879</f>
        <v>1311.77</v>
      </c>
      <c r="AP372" s="36"/>
      <c r="AQ372" s="35"/>
      <c r="AR372" s="35"/>
      <c r="AS372" s="35"/>
      <c r="AT372" s="35"/>
      <c r="AU372" s="35"/>
    </row>
    <row r="373" spans="1:47" s="7" customFormat="1" ht="15.75" customHeight="1" x14ac:dyDescent="0.35">
      <c r="A373" s="13" t="s">
        <v>239</v>
      </c>
      <c r="B373" s="33">
        <v>90236.64</v>
      </c>
      <c r="C373" s="35">
        <f t="shared" si="5"/>
        <v>61821.171999999999</v>
      </c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>
        <v>1</v>
      </c>
      <c r="Q373" s="35">
        <v>385.8</v>
      </c>
      <c r="R373" s="35"/>
      <c r="S373" s="35"/>
      <c r="T373" s="35"/>
      <c r="U373" s="35"/>
      <c r="V373" s="35"/>
      <c r="W373" s="35"/>
      <c r="X373" s="35"/>
      <c r="Y373" s="35"/>
      <c r="Z373" s="35"/>
      <c r="AA373" s="35"/>
      <c r="AB373" s="35"/>
      <c r="AC373" s="35"/>
      <c r="AD373" s="35">
        <v>4</v>
      </c>
      <c r="AE373" s="35">
        <v>2958</v>
      </c>
      <c r="AF373" s="35"/>
      <c r="AG373" s="35"/>
      <c r="AH373" s="35">
        <v>8</v>
      </c>
      <c r="AI373" s="35">
        <v>4070.4</v>
      </c>
      <c r="AJ373" s="35">
        <v>6</v>
      </c>
      <c r="AK373" s="35">
        <v>495.91899999999998</v>
      </c>
      <c r="AL373" s="35"/>
      <c r="AM373" s="35"/>
      <c r="AN373" s="36">
        <v>1</v>
      </c>
      <c r="AO373" s="36">
        <v>1081.163</v>
      </c>
      <c r="AP373" s="36"/>
      <c r="AQ373" s="35"/>
      <c r="AR373" s="35">
        <v>9.68</v>
      </c>
      <c r="AS373" s="35">
        <v>52829.89</v>
      </c>
      <c r="AT373" s="35"/>
      <c r="AU373" s="35"/>
    </row>
    <row r="374" spans="1:47" s="7" customFormat="1" ht="15.75" customHeight="1" x14ac:dyDescent="0.35">
      <c r="A374" s="13" t="s">
        <v>240</v>
      </c>
      <c r="B374" s="33">
        <v>142760.64000000001</v>
      </c>
      <c r="C374" s="35">
        <f t="shared" si="5"/>
        <v>109099.99</v>
      </c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>
        <v>10</v>
      </c>
      <c r="Q374" s="35">
        <f>5070.14+989.71</f>
        <v>6059.85</v>
      </c>
      <c r="R374" s="35"/>
      <c r="S374" s="35"/>
      <c r="T374" s="35"/>
      <c r="U374" s="35"/>
      <c r="V374" s="35"/>
      <c r="W374" s="35"/>
      <c r="X374" s="35"/>
      <c r="Y374" s="35"/>
      <c r="Z374" s="35"/>
      <c r="AA374" s="35"/>
      <c r="AB374" s="35"/>
      <c r="AC374" s="35"/>
      <c r="AD374" s="35"/>
      <c r="AE374" s="35"/>
      <c r="AF374" s="35"/>
      <c r="AG374" s="35"/>
      <c r="AH374" s="35"/>
      <c r="AI374" s="35"/>
      <c r="AJ374" s="35"/>
      <c r="AK374" s="35"/>
      <c r="AL374" s="35"/>
      <c r="AM374" s="35"/>
      <c r="AN374" s="36"/>
      <c r="AO374" s="36"/>
      <c r="AP374" s="36"/>
      <c r="AQ374" s="35"/>
      <c r="AR374" s="35">
        <v>18.88</v>
      </c>
      <c r="AS374" s="35">
        <v>103040.14</v>
      </c>
      <c r="AT374" s="35"/>
      <c r="AU374" s="35"/>
    </row>
    <row r="375" spans="1:47" s="7" customFormat="1" ht="15.75" customHeight="1" x14ac:dyDescent="0.35">
      <c r="A375" s="13" t="s">
        <v>241</v>
      </c>
      <c r="B375" s="33">
        <v>186883.8</v>
      </c>
      <c r="C375" s="35">
        <f t="shared" si="5"/>
        <v>402477.48</v>
      </c>
      <c r="D375" s="35">
        <v>8</v>
      </c>
      <c r="E375" s="35">
        <v>1433.48</v>
      </c>
      <c r="F375" s="35"/>
      <c r="G375" s="35"/>
      <c r="H375" s="35"/>
      <c r="I375" s="35"/>
      <c r="J375" s="35">
        <f>3+30+438</f>
        <v>471</v>
      </c>
      <c r="K375" s="35">
        <f>475.06+273207.361+9451.34</f>
        <v>283133.761</v>
      </c>
      <c r="L375" s="35"/>
      <c r="M375" s="35"/>
      <c r="N375" s="35"/>
      <c r="O375" s="35"/>
      <c r="P375" s="35">
        <v>10</v>
      </c>
      <c r="Q375" s="35">
        <f>2215.79+294.59+378.544</f>
        <v>2888.924</v>
      </c>
      <c r="R375" s="35">
        <v>4</v>
      </c>
      <c r="S375" s="35">
        <v>1505.9</v>
      </c>
      <c r="T375" s="35">
        <v>4</v>
      </c>
      <c r="U375" s="35">
        <v>2357.3200000000002</v>
      </c>
      <c r="V375" s="35"/>
      <c r="W375" s="35"/>
      <c r="X375" s="35"/>
      <c r="Y375" s="35"/>
      <c r="Z375" s="35"/>
      <c r="AA375" s="35"/>
      <c r="AB375" s="35"/>
      <c r="AC375" s="35"/>
      <c r="AD375" s="35"/>
      <c r="AE375" s="35"/>
      <c r="AF375" s="35"/>
      <c r="AG375" s="35"/>
      <c r="AH375" s="35"/>
      <c r="AI375" s="35"/>
      <c r="AJ375" s="35"/>
      <c r="AK375" s="35"/>
      <c r="AL375" s="35">
        <v>1</v>
      </c>
      <c r="AM375" s="35">
        <v>1287</v>
      </c>
      <c r="AN375" s="36">
        <v>3</v>
      </c>
      <c r="AO375" s="36">
        <f>1636.61+843.995+2953.2</f>
        <v>5433.8050000000003</v>
      </c>
      <c r="AP375" s="36"/>
      <c r="AQ375" s="35"/>
      <c r="AR375" s="35">
        <v>19.14</v>
      </c>
      <c r="AS375" s="35">
        <v>104437.29</v>
      </c>
      <c r="AT375" s="35"/>
      <c r="AU375" s="35"/>
    </row>
    <row r="376" spans="1:47" s="7" customFormat="1" ht="15.75" customHeight="1" x14ac:dyDescent="0.35">
      <c r="A376" s="13" t="s">
        <v>242</v>
      </c>
      <c r="B376" s="33">
        <v>453780.47999999998</v>
      </c>
      <c r="C376" s="35">
        <f t="shared" si="5"/>
        <v>1532014.2439999997</v>
      </c>
      <c r="D376" s="35"/>
      <c r="E376" s="35"/>
      <c r="F376" s="35"/>
      <c r="G376" s="35"/>
      <c r="H376" s="35"/>
      <c r="I376" s="35"/>
      <c r="J376" s="35">
        <v>2.8</v>
      </c>
      <c r="K376" s="35">
        <v>592.84</v>
      </c>
      <c r="L376" s="35">
        <f>406+426+406+406+406</f>
        <v>2050</v>
      </c>
      <c r="M376" s="35">
        <f>179967+172046+213027+178634+251830</f>
        <v>995504</v>
      </c>
      <c r="N376" s="35"/>
      <c r="O376" s="35"/>
      <c r="P376" s="35">
        <v>5</v>
      </c>
      <c r="Q376" s="35">
        <v>2664.11</v>
      </c>
      <c r="R376" s="35">
        <v>2</v>
      </c>
      <c r="S376" s="35">
        <f>383.03+376.479</f>
        <v>759.50900000000001</v>
      </c>
      <c r="T376" s="35">
        <v>58</v>
      </c>
      <c r="U376" s="35">
        <f>4605.4+125287+2000+69014.17</f>
        <v>200906.57</v>
      </c>
      <c r="V376" s="35"/>
      <c r="W376" s="35"/>
      <c r="X376" s="35"/>
      <c r="Y376" s="35"/>
      <c r="Z376" s="35"/>
      <c r="AA376" s="35"/>
      <c r="AB376" s="35"/>
      <c r="AC376" s="35"/>
      <c r="AD376" s="35">
        <v>11</v>
      </c>
      <c r="AE376" s="35">
        <f>3058.97+3293.85+2066.015+477</f>
        <v>8895.8349999999991</v>
      </c>
      <c r="AF376" s="35">
        <v>4</v>
      </c>
      <c r="AG376" s="35">
        <v>3999.16</v>
      </c>
      <c r="AH376" s="35">
        <v>1</v>
      </c>
      <c r="AI376" s="35">
        <v>409.93</v>
      </c>
      <c r="AJ376" s="35"/>
      <c r="AK376" s="35"/>
      <c r="AL376" s="35"/>
      <c r="AM376" s="35"/>
      <c r="AN376" s="36">
        <v>2</v>
      </c>
      <c r="AO376" s="36">
        <v>3922.56</v>
      </c>
      <c r="AP376" s="36"/>
      <c r="AQ376" s="35"/>
      <c r="AR376" s="35">
        <v>60.45</v>
      </c>
      <c r="AS376" s="35">
        <v>314359.73</v>
      </c>
      <c r="AT376" s="35"/>
      <c r="AU376" s="35"/>
    </row>
    <row r="377" spans="1:47" s="7" customFormat="1" ht="15.75" customHeight="1" x14ac:dyDescent="0.35">
      <c r="A377" s="13" t="s">
        <v>243</v>
      </c>
      <c r="B377" s="33">
        <v>685102.8</v>
      </c>
      <c r="C377" s="35">
        <f t="shared" si="5"/>
        <v>50331.539999999994</v>
      </c>
      <c r="D377" s="35"/>
      <c r="E377" s="35"/>
      <c r="F377" s="35"/>
      <c r="G377" s="35"/>
      <c r="H377" s="35"/>
      <c r="I377" s="35"/>
      <c r="J377" s="35">
        <v>18.75</v>
      </c>
      <c r="K377" s="35">
        <v>1657.84</v>
      </c>
      <c r="L377" s="35"/>
      <c r="M377" s="35"/>
      <c r="N377" s="35"/>
      <c r="O377" s="35"/>
      <c r="P377" s="35">
        <v>41</v>
      </c>
      <c r="Q377" s="35">
        <f>11778+7484.22</f>
        <v>19262.22</v>
      </c>
      <c r="R377" s="35">
        <v>2</v>
      </c>
      <c r="S377" s="35">
        <f>1483+376.48+9885.64+776</f>
        <v>12521.119999999999</v>
      </c>
      <c r="T377" s="35"/>
      <c r="U377" s="35"/>
      <c r="V377" s="35"/>
      <c r="W377" s="35"/>
      <c r="X377" s="35"/>
      <c r="Y377" s="35"/>
      <c r="Z377" s="35"/>
      <c r="AA377" s="35"/>
      <c r="AB377" s="35"/>
      <c r="AC377" s="35"/>
      <c r="AD377" s="35">
        <f>25+8</f>
        <v>33</v>
      </c>
      <c r="AE377" s="35">
        <f>11078.3+2372.94</f>
        <v>13451.24</v>
      </c>
      <c r="AF377" s="35"/>
      <c r="AG377" s="35"/>
      <c r="AH377" s="35">
        <v>1</v>
      </c>
      <c r="AI377" s="35">
        <v>345.74</v>
      </c>
      <c r="AJ377" s="35">
        <v>27</v>
      </c>
      <c r="AK377" s="35">
        <v>2545.02</v>
      </c>
      <c r="AL377" s="35">
        <v>13</v>
      </c>
      <c r="AM377" s="35">
        <v>548.36</v>
      </c>
      <c r="AN377" s="36"/>
      <c r="AO377" s="36"/>
      <c r="AP377" s="36"/>
      <c r="AQ377" s="35"/>
      <c r="AR377" s="35"/>
      <c r="AS377" s="35"/>
      <c r="AT377" s="35"/>
      <c r="AU377" s="35"/>
    </row>
    <row r="378" spans="1:47" s="7" customFormat="1" ht="15.75" customHeight="1" x14ac:dyDescent="0.35">
      <c r="A378" s="13" t="s">
        <v>244</v>
      </c>
      <c r="B378" s="33">
        <v>161373</v>
      </c>
      <c r="C378" s="35">
        <f t="shared" si="5"/>
        <v>93871.651000000013</v>
      </c>
      <c r="D378" s="35"/>
      <c r="E378" s="35"/>
      <c r="F378" s="35"/>
      <c r="G378" s="35"/>
      <c r="H378" s="35"/>
      <c r="I378" s="35"/>
      <c r="J378" s="35">
        <v>1.7</v>
      </c>
      <c r="K378" s="35">
        <v>5948.92</v>
      </c>
      <c r="L378" s="35"/>
      <c r="M378" s="35"/>
      <c r="N378" s="35"/>
      <c r="O378" s="35"/>
      <c r="P378" s="35">
        <v>2</v>
      </c>
      <c r="Q378" s="35">
        <v>901.33100000000002</v>
      </c>
      <c r="R378" s="35">
        <v>2</v>
      </c>
      <c r="S378" s="35">
        <f>376.48+376.479</f>
        <v>752.95900000000006</v>
      </c>
      <c r="T378" s="35">
        <v>2</v>
      </c>
      <c r="U378" s="35">
        <v>2333.91</v>
      </c>
      <c r="V378" s="35"/>
      <c r="W378" s="35"/>
      <c r="X378" s="35"/>
      <c r="Y378" s="35"/>
      <c r="Z378" s="35">
        <f>2.1+5</f>
        <v>7.1</v>
      </c>
      <c r="AA378" s="35">
        <f>2618.46+4896.76</f>
        <v>7515.22</v>
      </c>
      <c r="AB378" s="35"/>
      <c r="AC378" s="35"/>
      <c r="AD378" s="35">
        <f>15+6+19</f>
        <v>40</v>
      </c>
      <c r="AE378" s="35">
        <f>12663.6+2229.99+14754.2+1966</f>
        <v>31613.79</v>
      </c>
      <c r="AF378" s="35">
        <v>1</v>
      </c>
      <c r="AG378" s="35">
        <v>2175.9699999999998</v>
      </c>
      <c r="AH378" s="35">
        <v>10</v>
      </c>
      <c r="AI378" s="35">
        <f>2990+1229.8</f>
        <v>4219.8</v>
      </c>
      <c r="AJ378" s="35">
        <v>102</v>
      </c>
      <c r="AK378" s="35">
        <f>6091.75+3658</f>
        <v>9749.75</v>
      </c>
      <c r="AL378" s="35">
        <v>15</v>
      </c>
      <c r="AM378" s="35">
        <f>24771.3+112.253</f>
        <v>24883.553</v>
      </c>
      <c r="AN378" s="36">
        <v>2</v>
      </c>
      <c r="AO378" s="36">
        <v>3776.4479999999999</v>
      </c>
      <c r="AP378" s="36"/>
      <c r="AQ378" s="35"/>
      <c r="AR378" s="35"/>
      <c r="AS378" s="35"/>
      <c r="AT378" s="35"/>
      <c r="AU378" s="35"/>
    </row>
    <row r="379" spans="1:47" s="7" customFormat="1" ht="15.75" customHeight="1" x14ac:dyDescent="0.35">
      <c r="A379" s="12" t="s">
        <v>245</v>
      </c>
      <c r="B379" s="33">
        <v>107831.88</v>
      </c>
      <c r="C379" s="35">
        <f t="shared" si="5"/>
        <v>462165.00899999996</v>
      </c>
      <c r="D379" s="35"/>
      <c r="E379" s="35"/>
      <c r="F379" s="35"/>
      <c r="G379" s="35"/>
      <c r="H379" s="35">
        <v>160</v>
      </c>
      <c r="I379" s="35">
        <v>390143</v>
      </c>
      <c r="J379" s="35"/>
      <c r="K379" s="35"/>
      <c r="L379" s="35"/>
      <c r="M379" s="35"/>
      <c r="N379" s="35"/>
      <c r="O379" s="35"/>
      <c r="P379" s="35">
        <v>2</v>
      </c>
      <c r="Q379" s="35">
        <f>523+1130.51</f>
        <v>1653.51</v>
      </c>
      <c r="R379" s="35"/>
      <c r="S379" s="35"/>
      <c r="T379" s="35"/>
      <c r="U379" s="35"/>
      <c r="V379" s="35"/>
      <c r="W379" s="35"/>
      <c r="X379" s="35">
        <v>8</v>
      </c>
      <c r="Y379" s="35">
        <f>13998+1246.679</f>
        <v>15244.679</v>
      </c>
      <c r="Z379" s="35"/>
      <c r="AA379" s="35"/>
      <c r="AB379" s="35"/>
      <c r="AC379" s="35"/>
      <c r="AD379" s="35">
        <v>1</v>
      </c>
      <c r="AE379" s="35">
        <v>1770</v>
      </c>
      <c r="AF379" s="35"/>
      <c r="AG379" s="35"/>
      <c r="AH379" s="35"/>
      <c r="AI379" s="35"/>
      <c r="AJ379" s="35"/>
      <c r="AK379" s="35"/>
      <c r="AL379" s="35"/>
      <c r="AM379" s="35"/>
      <c r="AN379" s="36"/>
      <c r="AO379" s="36"/>
      <c r="AP379" s="36"/>
      <c r="AQ379" s="35"/>
      <c r="AR379" s="35">
        <v>9.7799999999999994</v>
      </c>
      <c r="AS379" s="35">
        <v>53353.82</v>
      </c>
      <c r="AT379" s="35"/>
      <c r="AU379" s="35"/>
    </row>
    <row r="380" spans="1:47" s="7" customFormat="1" ht="15.75" customHeight="1" x14ac:dyDescent="0.35">
      <c r="A380" s="13" t="s">
        <v>246</v>
      </c>
      <c r="B380" s="33">
        <v>169793.88</v>
      </c>
      <c r="C380" s="35">
        <f t="shared" si="5"/>
        <v>31156.13</v>
      </c>
      <c r="D380" s="35"/>
      <c r="E380" s="35"/>
      <c r="F380" s="35"/>
      <c r="G380" s="35"/>
      <c r="H380" s="35"/>
      <c r="I380" s="35"/>
      <c r="J380" s="35">
        <v>6</v>
      </c>
      <c r="K380" s="35">
        <v>1121.1400000000001</v>
      </c>
      <c r="L380" s="35"/>
      <c r="M380" s="35"/>
      <c r="N380" s="35"/>
      <c r="O380" s="35"/>
      <c r="P380" s="35">
        <v>3</v>
      </c>
      <c r="Q380" s="35">
        <v>1159.94</v>
      </c>
      <c r="R380" s="35">
        <v>1</v>
      </c>
      <c r="S380" s="35">
        <v>366.98</v>
      </c>
      <c r="T380" s="35"/>
      <c r="U380" s="35"/>
      <c r="V380" s="35"/>
      <c r="W380" s="35"/>
      <c r="X380" s="35"/>
      <c r="Y380" s="35"/>
      <c r="Z380" s="35"/>
      <c r="AA380" s="35"/>
      <c r="AB380" s="35"/>
      <c r="AC380" s="35"/>
      <c r="AD380" s="35"/>
      <c r="AE380" s="35"/>
      <c r="AF380" s="35"/>
      <c r="AG380" s="35"/>
      <c r="AH380" s="35"/>
      <c r="AI380" s="35"/>
      <c r="AJ380" s="35"/>
      <c r="AK380" s="35"/>
      <c r="AL380" s="35"/>
      <c r="AM380" s="35"/>
      <c r="AN380" s="36"/>
      <c r="AO380" s="36"/>
      <c r="AP380" s="36"/>
      <c r="AQ380" s="35">
        <v>28508.07</v>
      </c>
      <c r="AR380" s="35"/>
      <c r="AS380" s="35"/>
      <c r="AT380" s="35"/>
      <c r="AU380" s="35"/>
    </row>
    <row r="381" spans="1:47" s="7" customFormat="1" ht="15.75" customHeight="1" x14ac:dyDescent="0.35">
      <c r="A381" s="13" t="s">
        <v>247</v>
      </c>
      <c r="B381" s="33">
        <v>464815.32</v>
      </c>
      <c r="C381" s="35">
        <f t="shared" si="5"/>
        <v>1112924.4039999999</v>
      </c>
      <c r="D381" s="35">
        <v>40</v>
      </c>
      <c r="E381" s="35">
        <v>165988.29999999999</v>
      </c>
      <c r="F381" s="35"/>
      <c r="G381" s="35"/>
      <c r="H381" s="35"/>
      <c r="I381" s="35"/>
      <c r="J381" s="35">
        <f>206.2+388+82.5</f>
        <v>676.7</v>
      </c>
      <c r="K381" s="35">
        <f>243730+63142.6+16207.05+181097</f>
        <v>504176.64999999997</v>
      </c>
      <c r="L381" s="35"/>
      <c r="M381" s="35"/>
      <c r="N381" s="35"/>
      <c r="O381" s="35"/>
      <c r="P381" s="35">
        <v>28</v>
      </c>
      <c r="Q381" s="35">
        <f>4630+3417.33+5499.76+549.05</f>
        <v>14096.14</v>
      </c>
      <c r="R381" s="35">
        <v>1</v>
      </c>
      <c r="S381" s="35">
        <v>592.87</v>
      </c>
      <c r="T381" s="35">
        <v>48</v>
      </c>
      <c r="U381" s="35">
        <f>4114.57+130023+1767.99</f>
        <v>135905.56</v>
      </c>
      <c r="V381" s="35">
        <v>4</v>
      </c>
      <c r="W381" s="35">
        <v>4630.6400000000003</v>
      </c>
      <c r="X381" s="35">
        <v>65</v>
      </c>
      <c r="Y381" s="35">
        <f>6014.14+20681.3054+643.3006+620.28</f>
        <v>27959.025999999998</v>
      </c>
      <c r="Z381" s="35"/>
      <c r="AA381" s="35"/>
      <c r="AB381" s="35"/>
      <c r="AC381" s="35"/>
      <c r="AD381" s="35">
        <v>36</v>
      </c>
      <c r="AE381" s="35">
        <f>582.92+14990.9+13261.67</f>
        <v>28835.489999999998</v>
      </c>
      <c r="AF381" s="35"/>
      <c r="AG381" s="35"/>
      <c r="AH381" s="35">
        <v>3</v>
      </c>
      <c r="AI381" s="35">
        <f>1173.47+691.48</f>
        <v>1864.95</v>
      </c>
      <c r="AJ381" s="35">
        <v>20</v>
      </c>
      <c r="AK381" s="35">
        <v>2319.62</v>
      </c>
      <c r="AL381" s="35">
        <v>7</v>
      </c>
      <c r="AM381" s="35">
        <f>9138.22+1100.94</f>
        <v>10239.16</v>
      </c>
      <c r="AN381" s="36">
        <v>4</v>
      </c>
      <c r="AO381" s="36">
        <v>3776.4479999999999</v>
      </c>
      <c r="AP381" s="36"/>
      <c r="AQ381" s="35"/>
      <c r="AR381" s="35">
        <v>5.6</v>
      </c>
      <c r="AS381" s="35">
        <v>217170.19</v>
      </c>
      <c r="AT381" s="35"/>
      <c r="AU381" s="35"/>
    </row>
    <row r="382" spans="1:47" s="7" customFormat="1" ht="15.75" customHeight="1" x14ac:dyDescent="0.35">
      <c r="A382" s="13" t="s">
        <v>248</v>
      </c>
      <c r="B382" s="33">
        <v>800195.76</v>
      </c>
      <c r="C382" s="35">
        <f t="shared" si="5"/>
        <v>529967.11899999995</v>
      </c>
      <c r="D382" s="35"/>
      <c r="E382" s="35"/>
      <c r="F382" s="35"/>
      <c r="G382" s="35"/>
      <c r="H382" s="35"/>
      <c r="I382" s="35"/>
      <c r="J382" s="35">
        <f>241.2+2</f>
        <v>243.2</v>
      </c>
      <c r="K382" s="35">
        <f>627.68+121959</f>
        <v>122586.68</v>
      </c>
      <c r="L382" s="35"/>
      <c r="M382" s="35"/>
      <c r="N382" s="35"/>
      <c r="O382" s="35"/>
      <c r="P382" s="35">
        <v>11</v>
      </c>
      <c r="Q382" s="35">
        <f>2613.74+2339.94</f>
        <v>4953.68</v>
      </c>
      <c r="R382" s="35">
        <v>6</v>
      </c>
      <c r="S382" s="35">
        <f>17864.2+13970.2+776</f>
        <v>32610.400000000001</v>
      </c>
      <c r="T382" s="35">
        <v>14</v>
      </c>
      <c r="U382" s="35">
        <f>11865+8579.17+7608.51</f>
        <v>28052.68</v>
      </c>
      <c r="V382" s="35"/>
      <c r="W382" s="35"/>
      <c r="X382" s="35">
        <v>2.2999999999999998</v>
      </c>
      <c r="Y382" s="35">
        <v>704.57799999999997</v>
      </c>
      <c r="Z382" s="35">
        <v>45</v>
      </c>
      <c r="AA382" s="35">
        <f>14158.74+12105.3+9911.056+20275.4</f>
        <v>56450.496000000006</v>
      </c>
      <c r="AB382" s="35"/>
      <c r="AC382" s="35"/>
      <c r="AD382" s="35">
        <f>18+6</f>
        <v>24</v>
      </c>
      <c r="AE382" s="35">
        <f>2260.833+5823.52+7848.99+14148.55+14739.91+2977.14</f>
        <v>47798.942999999999</v>
      </c>
      <c r="AF382" s="35"/>
      <c r="AG382" s="35"/>
      <c r="AH382" s="35">
        <v>7</v>
      </c>
      <c r="AI382" s="35">
        <f>532.42+625</f>
        <v>1157.42</v>
      </c>
      <c r="AJ382" s="35"/>
      <c r="AK382" s="35"/>
      <c r="AL382" s="35">
        <v>10</v>
      </c>
      <c r="AM382" s="35">
        <v>2036.1</v>
      </c>
      <c r="AN382" s="36">
        <v>4</v>
      </c>
      <c r="AO382" s="36">
        <f>432.77+2217.491+1207.801</f>
        <v>3858.0619999999999</v>
      </c>
      <c r="AP382" s="36"/>
      <c r="AQ382" s="35"/>
      <c r="AR382" s="35">
        <v>57.87</v>
      </c>
      <c r="AS382" s="35">
        <v>225815.08</v>
      </c>
      <c r="AT382" s="35"/>
      <c r="AU382" s="35">
        <v>3943</v>
      </c>
    </row>
    <row r="383" spans="1:47" s="7" customFormat="1" ht="15.75" customHeight="1" x14ac:dyDescent="0.35">
      <c r="A383" s="13" t="s">
        <v>249</v>
      </c>
      <c r="B383" s="33">
        <v>84939.12</v>
      </c>
      <c r="C383" s="35">
        <f t="shared" si="5"/>
        <v>22716.79</v>
      </c>
      <c r="D383" s="35">
        <v>20</v>
      </c>
      <c r="E383" s="35">
        <v>12205.72</v>
      </c>
      <c r="F383" s="35"/>
      <c r="G383" s="35"/>
      <c r="H383" s="35"/>
      <c r="I383" s="35"/>
      <c r="J383" s="35">
        <f>26+62</f>
        <v>88</v>
      </c>
      <c r="K383" s="35">
        <f>2452.06+548.11+767.35</f>
        <v>3767.52</v>
      </c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  <c r="Z383" s="35"/>
      <c r="AA383" s="35"/>
      <c r="AB383" s="35"/>
      <c r="AC383" s="35"/>
      <c r="AD383" s="35"/>
      <c r="AE383" s="35"/>
      <c r="AF383" s="35"/>
      <c r="AG383" s="35"/>
      <c r="AH383" s="35"/>
      <c r="AI383" s="35"/>
      <c r="AJ383" s="35">
        <v>8</v>
      </c>
      <c r="AK383" s="35">
        <v>2881.15</v>
      </c>
      <c r="AL383" s="35"/>
      <c r="AM383" s="35"/>
      <c r="AN383" s="36">
        <v>2</v>
      </c>
      <c r="AO383" s="36">
        <v>3862.4</v>
      </c>
      <c r="AP383" s="36"/>
      <c r="AQ383" s="35"/>
      <c r="AR383" s="35"/>
      <c r="AS383" s="35"/>
      <c r="AT383" s="35"/>
      <c r="AU383" s="35"/>
    </row>
  </sheetData>
  <autoFilter ref="A12:AU383"/>
  <mergeCells count="1">
    <mergeCell ref="C11:AU11"/>
  </mergeCells>
  <phoneticPr fontId="36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полугодие</vt:lpstr>
      <vt:lpstr>9 месяцев</vt:lpstr>
      <vt:lpstr>2013 год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пто3</dc:creator>
  <cp:lastModifiedBy>ooDAV</cp:lastModifiedBy>
  <cp:lastPrinted>2014-02-18T12:17:50Z</cp:lastPrinted>
  <dcterms:created xsi:type="dcterms:W3CDTF">2013-07-13T05:18:49Z</dcterms:created>
  <dcterms:modified xsi:type="dcterms:W3CDTF">2014-02-18T12:26:16Z</dcterms:modified>
</cp:coreProperties>
</file>